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165"/>
  </bookViews>
  <sheets>
    <sheet name="家庭档案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<sst xmlns="http://schemas.openxmlformats.org/spreadsheetml/2006/main" count="46743" uniqueCount="17219">
  <si>
    <t>农村低保家庭信息列表（2026年01月05日）</t>
  </si>
  <si>
    <t>序号</t>
  </si>
  <si>
    <t>家庭编号</t>
  </si>
  <si>
    <t>县名称</t>
  </si>
  <si>
    <t>镇名称</t>
  </si>
  <si>
    <t>村名称</t>
  </si>
  <si>
    <t>户主姓名</t>
  </si>
  <si>
    <t>家庭类别名称</t>
  </si>
  <si>
    <t>享受保障人口数</t>
  </si>
  <si>
    <t>成员姓名</t>
  </si>
  <si>
    <t>发放金额</t>
  </si>
  <si>
    <t>F079167882633906</t>
  </si>
  <si>
    <t>沐川县</t>
  </si>
  <si>
    <t>沐溪镇</t>
  </si>
  <si>
    <t>建和社区</t>
  </si>
  <si>
    <t>童明</t>
  </si>
  <si>
    <t>农村低保</t>
  </si>
  <si>
    <t>夏玉珍,童敏桔,童明</t>
  </si>
  <si>
    <t>F079170120828233</t>
  </si>
  <si>
    <t>夏贵明</t>
  </si>
  <si>
    <t>夏贵明,夏平,夏万林,夏伟杰,夏梦雪,夏兵</t>
  </si>
  <si>
    <t>F105184854528859</t>
  </si>
  <si>
    <t>和福梅</t>
  </si>
  <si>
    <t>邹浩宇,和福梅,程宇欣</t>
  </si>
  <si>
    <t>F309061384365768</t>
  </si>
  <si>
    <t>童明辉</t>
  </si>
  <si>
    <t>童明辉,熊长枢</t>
  </si>
  <si>
    <t>F309063177355550</t>
  </si>
  <si>
    <t>兰书贵</t>
  </si>
  <si>
    <t>兰琳,兰书贵,龚晓芳,兰岚</t>
  </si>
  <si>
    <t>F763736549754090</t>
  </si>
  <si>
    <t>何平</t>
  </si>
  <si>
    <t>杨加明,何平,何虹燕</t>
  </si>
  <si>
    <t>F950028947777099</t>
  </si>
  <si>
    <t>王兴秀</t>
  </si>
  <si>
    <t>杨春,王兴秀,杨峻娇</t>
  </si>
  <si>
    <t>F950033145276637</t>
  </si>
  <si>
    <t>童志军</t>
  </si>
  <si>
    <t>F950034181683002</t>
  </si>
  <si>
    <t>邹小燕</t>
  </si>
  <si>
    <t>F950035937933146</t>
  </si>
  <si>
    <t>陈羲</t>
  </si>
  <si>
    <t>F950039022620520</t>
  </si>
  <si>
    <t>蒙仁海</t>
  </si>
  <si>
    <t>蒙仁海,蒙义雄,蒙彦菲,蒙丽,骆国明</t>
  </si>
  <si>
    <t>F950040705276834</t>
  </si>
  <si>
    <t>邹童</t>
  </si>
  <si>
    <t>F950040726526799</t>
  </si>
  <si>
    <t>罗莉</t>
  </si>
  <si>
    <t>F950042429026990</t>
  </si>
  <si>
    <t>王浠晨</t>
  </si>
  <si>
    <t>F805700624787629</t>
  </si>
  <si>
    <t>幸福社区</t>
  </si>
  <si>
    <t>肖贵全</t>
  </si>
  <si>
    <t>F950015289026666</t>
  </si>
  <si>
    <t>杨泽金</t>
  </si>
  <si>
    <t>杨晨豪,杨泽金,周旭梅</t>
  </si>
  <si>
    <t>F950024129027861</t>
  </si>
  <si>
    <t>刘鹏</t>
  </si>
  <si>
    <t>刘鹏,刘星羽</t>
  </si>
  <si>
    <t>F950026834964300</t>
  </si>
  <si>
    <t>周显华</t>
  </si>
  <si>
    <t>F950036757621438</t>
  </si>
  <si>
    <t>冯顺林</t>
  </si>
  <si>
    <t>冯顺林,周华海,周琴</t>
  </si>
  <si>
    <t>F950041111839370</t>
  </si>
  <si>
    <t>饶中琼</t>
  </si>
  <si>
    <t>邹文兴,饶中琼</t>
  </si>
  <si>
    <t>F228520990967930</t>
  </si>
  <si>
    <t>关坪村委会</t>
  </si>
  <si>
    <t>孙强</t>
  </si>
  <si>
    <t>F253728666098005</t>
  </si>
  <si>
    <t>李刚</t>
  </si>
  <si>
    <t>李刚,杨雪梅,李源</t>
  </si>
  <si>
    <t>F253732246608185</t>
  </si>
  <si>
    <t>马绍权</t>
  </si>
  <si>
    <t>吴代芬,马利,马绍权</t>
  </si>
  <si>
    <t>F253736827634557</t>
  </si>
  <si>
    <t>蓝德明</t>
  </si>
  <si>
    <t>王兴珍,蓝德明</t>
  </si>
  <si>
    <t>F253744232257935</t>
  </si>
  <si>
    <t>余金富</t>
  </si>
  <si>
    <t>F309033144535554</t>
  </si>
  <si>
    <t>林仲康</t>
  </si>
  <si>
    <t>林仲康,王小研,林凤富,张平,张文,赵明芝</t>
  </si>
  <si>
    <t>F309037466403837</t>
  </si>
  <si>
    <t>李宽国</t>
  </si>
  <si>
    <t>李坪春,李宽国,刘光翠,李佳霖</t>
  </si>
  <si>
    <t>F309042279901430</t>
  </si>
  <si>
    <t>谯宗林</t>
  </si>
  <si>
    <t>谯宗林,谯绍宇,陈明芝,谯玉丹</t>
  </si>
  <si>
    <t>F418306512291103</t>
  </si>
  <si>
    <t>粟叶</t>
  </si>
  <si>
    <t>粟莉,粟叶,粟多华</t>
  </si>
  <si>
    <t>F418310578951294</t>
  </si>
  <si>
    <t>包云富</t>
  </si>
  <si>
    <t>蔺程线,包顺,包云富</t>
  </si>
  <si>
    <t>F418319415211309</t>
  </si>
  <si>
    <t>陈银楷</t>
  </si>
  <si>
    <t>陈芳,陈银楷,吴尚玉,陈富秋</t>
  </si>
  <si>
    <t>F418331810035585</t>
  </si>
  <si>
    <t>谯俊平</t>
  </si>
  <si>
    <t>谯俊平,阳东</t>
  </si>
  <si>
    <t>F571048871162905</t>
  </si>
  <si>
    <t>邹登洪</t>
  </si>
  <si>
    <t>周小苗,邹圆,邹燕,邹登洪,邹丽</t>
  </si>
  <si>
    <t>F598629897165973</t>
  </si>
  <si>
    <t>吴小平</t>
  </si>
  <si>
    <t>莫丽,吴小平,莫润秀,莫仔皓</t>
  </si>
  <si>
    <t>F706346101042597</t>
  </si>
  <si>
    <t>陈善刚</t>
  </si>
  <si>
    <t>陈善刚,陈明炀,陈明冬,杨霞,陈立全,陈代洪,张远秀,陈鑫茹</t>
  </si>
  <si>
    <t>F832100505697209</t>
  </si>
  <si>
    <t>何万友</t>
  </si>
  <si>
    <t>何万友,何喜,黄春霞</t>
  </si>
  <si>
    <t>F884892685749768</t>
  </si>
  <si>
    <t>林正田</t>
  </si>
  <si>
    <t>唐玄芬,林智明,林正田</t>
  </si>
  <si>
    <t>F949984017152224</t>
  </si>
  <si>
    <t>罗全虎</t>
  </si>
  <si>
    <t>罗全虎,马红,罗小林</t>
  </si>
  <si>
    <t>F949984313089287</t>
  </si>
  <si>
    <t>胡成先</t>
  </si>
  <si>
    <t>F950012842933063</t>
  </si>
  <si>
    <t>李孟银</t>
  </si>
  <si>
    <t>王显会,李洪润,李孟银</t>
  </si>
  <si>
    <t>F950015056683142</t>
  </si>
  <si>
    <t>夏世华</t>
  </si>
  <si>
    <t>夏世华,苏子英,夏明,夏燕</t>
  </si>
  <si>
    <t>F950015606370807</t>
  </si>
  <si>
    <t>黄光秀</t>
  </si>
  <si>
    <t>F950020798558087</t>
  </si>
  <si>
    <t>张光荣</t>
  </si>
  <si>
    <t>张梦洁,张光荣</t>
  </si>
  <si>
    <t>F950025164495722</t>
  </si>
  <si>
    <t>吴永银</t>
  </si>
  <si>
    <t>吴兴贵,杨进芝,吴永银</t>
  </si>
  <si>
    <t>F950026682151816</t>
  </si>
  <si>
    <t>谯宗桂</t>
  </si>
  <si>
    <t>谯宗桂,牟华芬</t>
  </si>
  <si>
    <t>F950028178245711</t>
  </si>
  <si>
    <t>兰光珍</t>
  </si>
  <si>
    <t>F950029787308076</t>
  </si>
  <si>
    <t>余胜海</t>
  </si>
  <si>
    <t>余胜海,余金安</t>
  </si>
  <si>
    <t>F950032153558106</t>
  </si>
  <si>
    <t>杨国文</t>
  </si>
  <si>
    <t>杨澜,杨馨怡,杨国文,沈木兰</t>
  </si>
  <si>
    <t>F950034299183022</t>
  </si>
  <si>
    <t>马益庆</t>
  </si>
  <si>
    <t>马益庆,张久连</t>
  </si>
  <si>
    <t>F950038511370160</t>
  </si>
  <si>
    <t>蓝有清</t>
  </si>
  <si>
    <t>蓝永贵,蓝华峰,蓝云有,蓝有清</t>
  </si>
  <si>
    <t>F950038695746103</t>
  </si>
  <si>
    <t>罗文香</t>
  </si>
  <si>
    <t>F950038934808250</t>
  </si>
  <si>
    <t>莫光银</t>
  </si>
  <si>
    <t>莫光银,曾仕平,莫雪,莫晓琴</t>
  </si>
  <si>
    <t>F950044564026677</t>
  </si>
  <si>
    <t>王代英</t>
  </si>
  <si>
    <t>王代英,胡成海</t>
  </si>
  <si>
    <t>F971630042922938</t>
  </si>
  <si>
    <t>邓昌容</t>
  </si>
  <si>
    <t>邓仕川,黎云鑫,李吉安,邓昌容,黎廷伦</t>
  </si>
  <si>
    <t>F995857036682984</t>
  </si>
  <si>
    <t>易中才</t>
  </si>
  <si>
    <t>易中才,易文轩,易萱,易鑫,王清会,易文宇</t>
  </si>
  <si>
    <t>F995862523870786</t>
  </si>
  <si>
    <t>王富金</t>
  </si>
  <si>
    <t>王富金,王吉枢</t>
  </si>
  <si>
    <t>F995866154495777</t>
  </si>
  <si>
    <t>王吉海</t>
  </si>
  <si>
    <t>何兴珍,王涵锋,王吉海</t>
  </si>
  <si>
    <t>F995880775901819</t>
  </si>
  <si>
    <t>周训平</t>
  </si>
  <si>
    <t>林凤莉,周训平</t>
  </si>
  <si>
    <t>F025450175111329</t>
  </si>
  <si>
    <t>泥河村委会</t>
  </si>
  <si>
    <t>宋均</t>
  </si>
  <si>
    <t>宋均,宋俊坪</t>
  </si>
  <si>
    <t>F079120056891383</t>
  </si>
  <si>
    <t>向传彭</t>
  </si>
  <si>
    <t>向传彭,向重陈,牟启福,陈明琼</t>
  </si>
  <si>
    <t>F213523850872076</t>
  </si>
  <si>
    <t>刘洪燚</t>
  </si>
  <si>
    <t>F213525029622615</t>
  </si>
  <si>
    <t>王文</t>
  </si>
  <si>
    <t>F213528231966204</t>
  </si>
  <si>
    <t>张永光</t>
  </si>
  <si>
    <t>张永光,冯祖贤</t>
  </si>
  <si>
    <t>F253715885290735</t>
  </si>
  <si>
    <t>邹代青</t>
  </si>
  <si>
    <t>邹代青,杨昌连,邹浩杨,邹丹阳,邹建</t>
  </si>
  <si>
    <t>F253721921564722</t>
  </si>
  <si>
    <t>刘凤杨</t>
  </si>
  <si>
    <t>刘楷锐,刘凤杨,邓忠明</t>
  </si>
  <si>
    <t>F316968574163487</t>
  </si>
  <si>
    <t>向传六</t>
  </si>
  <si>
    <t>宋连根,向传六</t>
  </si>
  <si>
    <t>F464545301037940</t>
  </si>
  <si>
    <t>吴良洪</t>
  </si>
  <si>
    <t>吴万山,吴良洪,薛西素,孙传枢</t>
  </si>
  <si>
    <t>F520238561472381</t>
  </si>
  <si>
    <t>张代才</t>
  </si>
  <si>
    <t>朱公分,张代才</t>
  </si>
  <si>
    <t>F572396488541756</t>
  </si>
  <si>
    <t>李国桂</t>
  </si>
  <si>
    <t>杨再务,李太洪,李国桂</t>
  </si>
  <si>
    <t>F598655315563892</t>
  </si>
  <si>
    <t>邓晓飞</t>
  </si>
  <si>
    <t>邓晓飞,邓学平,邓学宇</t>
  </si>
  <si>
    <t>F623534729242094</t>
  </si>
  <si>
    <t>崔杨富</t>
  </si>
  <si>
    <t>F630641626734936</t>
  </si>
  <si>
    <t>谢帅</t>
  </si>
  <si>
    <t>F653609520109281</t>
  </si>
  <si>
    <t>谢成友</t>
  </si>
  <si>
    <t>谢成友,谢欣悦,石先珍,谢林</t>
  </si>
  <si>
    <t>F706323939778779</t>
  </si>
  <si>
    <t>黄意恒</t>
  </si>
  <si>
    <t>黄意恒,杨光珍,黄琳,黄钰汶,黄乙</t>
  </si>
  <si>
    <t>F861469854036127</t>
  </si>
  <si>
    <t>向仲全</t>
  </si>
  <si>
    <t>欧永红,向仲全,向泳彬,向雪莉,王来珍</t>
  </si>
  <si>
    <t>F949982435433006</t>
  </si>
  <si>
    <t>邓胜先</t>
  </si>
  <si>
    <t>王才有,王雪怡,邓胜先</t>
  </si>
  <si>
    <t>F949984028870408</t>
  </si>
  <si>
    <t>邓小红</t>
  </si>
  <si>
    <t>廖常溢,段海川,廖丹丹,邓小红,邓胜江</t>
  </si>
  <si>
    <t>F949984232151693</t>
  </si>
  <si>
    <t>邓富荣</t>
  </si>
  <si>
    <t>F949986063401871</t>
  </si>
  <si>
    <t>刘凤高</t>
  </si>
  <si>
    <t>刘凤高,宋良富</t>
  </si>
  <si>
    <t>F950009806995670</t>
  </si>
  <si>
    <t>李国荣</t>
  </si>
  <si>
    <t>李国荣,李培洪</t>
  </si>
  <si>
    <t>F950015679183551</t>
  </si>
  <si>
    <t>邓昌伦</t>
  </si>
  <si>
    <t>F950022421058327</t>
  </si>
  <si>
    <t>宋云培</t>
  </si>
  <si>
    <t>宋云培,李国明,宋代明</t>
  </si>
  <si>
    <t>F950024438402176</t>
  </si>
  <si>
    <t>魏进芬</t>
  </si>
  <si>
    <t>F950024712933065</t>
  </si>
  <si>
    <t>邹登秀</t>
  </si>
  <si>
    <t>F950026601214468</t>
  </si>
  <si>
    <t>张大英</t>
  </si>
  <si>
    <t>F950030669495635</t>
  </si>
  <si>
    <t>李宗跃</t>
  </si>
  <si>
    <t>李万洪,钟琴,钟大惠,李宗跃,吴邦秀</t>
  </si>
  <si>
    <t>F950030713089182</t>
  </si>
  <si>
    <t>郭洪明</t>
  </si>
  <si>
    <t>温明春,郭洪明</t>
  </si>
  <si>
    <t>F950032691526984</t>
  </si>
  <si>
    <t>苏崇元</t>
  </si>
  <si>
    <t>F950032924183402</t>
  </si>
  <si>
    <t>张梦萍</t>
  </si>
  <si>
    <t>F950036314964471</t>
  </si>
  <si>
    <t>温树明</t>
  </si>
  <si>
    <t>F950038163089709</t>
  </si>
  <si>
    <t>郭洪根</t>
  </si>
  <si>
    <t>辜全珍,郭洪根,郭贻水</t>
  </si>
  <si>
    <t>F950042058089291</t>
  </si>
  <si>
    <t>彭建银</t>
  </si>
  <si>
    <t>F950042069339686</t>
  </si>
  <si>
    <t>余晓娟</t>
  </si>
  <si>
    <t>F950044394964621</t>
  </si>
  <si>
    <t>杨万兵</t>
  </si>
  <si>
    <t>F969109403484369</t>
  </si>
  <si>
    <t>邓明德</t>
  </si>
  <si>
    <t>邓浩宸,童林,邓明德,陈兆清,邓福乾</t>
  </si>
  <si>
    <t>F995817265433486</t>
  </si>
  <si>
    <t>谢明宗</t>
  </si>
  <si>
    <t>谢明宗,彭明树</t>
  </si>
  <si>
    <t>F995824832933070</t>
  </si>
  <si>
    <t>向德友</t>
  </si>
  <si>
    <t>周成芬,向德友</t>
  </si>
  <si>
    <t>F105169262000232</t>
  </si>
  <si>
    <t>仁厚村委会</t>
  </si>
  <si>
    <t>袁苗</t>
  </si>
  <si>
    <t>F143873596496468</t>
  </si>
  <si>
    <t>杨镇豪</t>
  </si>
  <si>
    <t>F181554067306824</t>
  </si>
  <si>
    <t>牟华友</t>
  </si>
  <si>
    <t>牟华友,牟星雨,牟岚,牟启高,雷兴芬,曾玉容</t>
  </si>
  <si>
    <t>F235301591668187</t>
  </si>
  <si>
    <t>胡英贵</t>
  </si>
  <si>
    <t>F260028374034744</t>
  </si>
  <si>
    <t>袁洁</t>
  </si>
  <si>
    <t>袁安金,袁洁</t>
  </si>
  <si>
    <t>F385078882791720</t>
  </si>
  <si>
    <t>袁三才</t>
  </si>
  <si>
    <t>曾传进,袁三才,袁羽婷</t>
  </si>
  <si>
    <t>F385080861561751</t>
  </si>
  <si>
    <t>郑永章</t>
  </si>
  <si>
    <t>袁再明,郑永章</t>
  </si>
  <si>
    <t>F418300489127225</t>
  </si>
  <si>
    <t>彭德金</t>
  </si>
  <si>
    <t>彭振兴,彭德金,张志贵,彭艺,彭连春</t>
  </si>
  <si>
    <t>F520263175736236</t>
  </si>
  <si>
    <t>孙汉城</t>
  </si>
  <si>
    <t>F549422209743979</t>
  </si>
  <si>
    <t>黄月康</t>
  </si>
  <si>
    <t>杨泽容,黄月康</t>
  </si>
  <si>
    <t>F572401246198059</t>
  </si>
  <si>
    <t>郑碧富</t>
  </si>
  <si>
    <t>F838679529830664</t>
  </si>
  <si>
    <t>郭宏斌</t>
  </si>
  <si>
    <t>F868998465193866</t>
  </si>
  <si>
    <t>郭俊波</t>
  </si>
  <si>
    <t>郭俊波,郭婷</t>
  </si>
  <si>
    <t>F918018173548430</t>
  </si>
  <si>
    <t>郭俊臣</t>
  </si>
  <si>
    <t>郭俊臣,郭贻敏,袁伦珍</t>
  </si>
  <si>
    <t>F950015518870631</t>
  </si>
  <si>
    <t>杨世康</t>
  </si>
  <si>
    <t>杨洪亮,杨世康</t>
  </si>
  <si>
    <t>F950026282464406</t>
  </si>
  <si>
    <t>蒋正伟</t>
  </si>
  <si>
    <t>邹大先,蒋正伟,杨文雄,蒋国平</t>
  </si>
  <si>
    <t>F950030124027231</t>
  </si>
  <si>
    <t>宋永昌</t>
  </si>
  <si>
    <t>F950030576995533</t>
  </si>
  <si>
    <t>郑碧贵</t>
  </si>
  <si>
    <t>杨富珍,郑晓燕,郑碧贵</t>
  </si>
  <si>
    <t>F950030846683295</t>
  </si>
  <si>
    <t>彭连国</t>
  </si>
  <si>
    <t>F950040558870650</t>
  </si>
  <si>
    <t>魏志堂</t>
  </si>
  <si>
    <t>F950040962464277</t>
  </si>
  <si>
    <t>石通清</t>
  </si>
  <si>
    <t>F291103089603829</t>
  </si>
  <si>
    <t>龙门村委会</t>
  </si>
  <si>
    <t>张建芬</t>
  </si>
  <si>
    <t>张建芬,陈鑫怡</t>
  </si>
  <si>
    <t>F494627278837976</t>
  </si>
  <si>
    <t>魏进华</t>
  </si>
  <si>
    <t>许静,魏军,魏进华</t>
  </si>
  <si>
    <t>F594207739987102</t>
  </si>
  <si>
    <t>王林</t>
  </si>
  <si>
    <t>F727626824673789</t>
  </si>
  <si>
    <t>刘湖强</t>
  </si>
  <si>
    <t>刘林松,黄安银,刘佳林,刘湖强,刘安贵,刘杰锡</t>
  </si>
  <si>
    <t>F950011411214371</t>
  </si>
  <si>
    <t>魏志顺</t>
  </si>
  <si>
    <t>F950011628246292</t>
  </si>
  <si>
    <t>王廷枢</t>
  </si>
  <si>
    <t>魏志芬,王建萍,王廷枢</t>
  </si>
  <si>
    <t>F950014427620569</t>
  </si>
  <si>
    <t>黄厚英</t>
  </si>
  <si>
    <t>F950016571058748</t>
  </si>
  <si>
    <t>吕荣光</t>
  </si>
  <si>
    <t>F950018599964083</t>
  </si>
  <si>
    <t>魏进枢</t>
  </si>
  <si>
    <t>廖晓琼,黄明珍,魏进枢,魏晓丽</t>
  </si>
  <si>
    <t>F950020573715077</t>
  </si>
  <si>
    <t>邹开秀</t>
  </si>
  <si>
    <t>F950024801995649</t>
  </si>
  <si>
    <t>魏兴斌</t>
  </si>
  <si>
    <t>F950026646214577</t>
  </si>
  <si>
    <t>魏进珍</t>
  </si>
  <si>
    <t>邹登云,邹登芬,魏进珍</t>
  </si>
  <si>
    <t>F950026865433132</t>
  </si>
  <si>
    <t>王廷贵</t>
  </si>
  <si>
    <t>F950027009339322</t>
  </si>
  <si>
    <t>熊发才</t>
  </si>
  <si>
    <t>邹开英,王金义,熊发才,熊峰</t>
  </si>
  <si>
    <t>F950028336370476</t>
  </si>
  <si>
    <t>邹泽文</t>
  </si>
  <si>
    <t>魏兴银,邹泽文</t>
  </si>
  <si>
    <t>F950029148089335</t>
  </si>
  <si>
    <t>罗时凯</t>
  </si>
  <si>
    <t>魏武明,魏兴芬,罗时凯</t>
  </si>
  <si>
    <t>F950032376058304</t>
  </si>
  <si>
    <t>刘平东</t>
  </si>
  <si>
    <t>刘贺均,刘平东</t>
  </si>
  <si>
    <t>F950032756839578</t>
  </si>
  <si>
    <t>马吉会</t>
  </si>
  <si>
    <t>F950034726371143</t>
  </si>
  <si>
    <t>刘荣才</t>
  </si>
  <si>
    <t>刘荣才,李泽英</t>
  </si>
  <si>
    <t>F950036573089200</t>
  </si>
  <si>
    <t>熊汉珍</t>
  </si>
  <si>
    <t>吴俊杰,王世秀,吴雪梅,熊汉珍,吴开元,吴永贵</t>
  </si>
  <si>
    <t>F950036694026787</t>
  </si>
  <si>
    <t>王登芝</t>
  </si>
  <si>
    <t>F950040347620605</t>
  </si>
  <si>
    <t>李天兰</t>
  </si>
  <si>
    <t>F950041844027238</t>
  </si>
  <si>
    <t>周光秀</t>
  </si>
  <si>
    <t>魏志坡,周光秀,魏俊杰</t>
  </si>
  <si>
    <t>F950042601370911</t>
  </si>
  <si>
    <t>聂昌怀</t>
  </si>
  <si>
    <t>魏志循,聂世德,聂旺熙,聂昌怀,邹代华,聂渝杭</t>
  </si>
  <si>
    <t>F950044107464011</t>
  </si>
  <si>
    <t>胡桂珍,魏进华</t>
  </si>
  <si>
    <t>F950044201058205</t>
  </si>
  <si>
    <t>魏枢员</t>
  </si>
  <si>
    <t>朱洪群,魏枢员,魏铖铖</t>
  </si>
  <si>
    <t>F950044401995882</t>
  </si>
  <si>
    <t>邹开学</t>
  </si>
  <si>
    <t>吕培英,邹开学</t>
  </si>
  <si>
    <t>F629830483385352</t>
  </si>
  <si>
    <t>柏香村委会</t>
  </si>
  <si>
    <t>王苏朋</t>
  </si>
  <si>
    <t>F851137145106228</t>
  </si>
  <si>
    <t>李学斌</t>
  </si>
  <si>
    <t>李成逸,李学斌,李新逸,李志翔</t>
  </si>
  <si>
    <t>F941333037049080</t>
  </si>
  <si>
    <t>王应和</t>
  </si>
  <si>
    <t>王萍,王应和,陈代分</t>
  </si>
  <si>
    <t>F949982074652168</t>
  </si>
  <si>
    <t>李学全</t>
  </si>
  <si>
    <t>李得盛,李学全,张世珍</t>
  </si>
  <si>
    <t>F949984225276708</t>
  </si>
  <si>
    <t>覃才华</t>
  </si>
  <si>
    <t>冯炳珍,覃才华</t>
  </si>
  <si>
    <t>F949985978714475</t>
  </si>
  <si>
    <t>杨进山</t>
  </si>
  <si>
    <t>F949986085589460</t>
  </si>
  <si>
    <t>张大凤</t>
  </si>
  <si>
    <t>F950016634964150</t>
  </si>
  <si>
    <t>熊长林</t>
  </si>
  <si>
    <t>熊长林,熊发均,聂世银</t>
  </si>
  <si>
    <t>F950027833245500</t>
  </si>
  <si>
    <t>杨仁全</t>
  </si>
  <si>
    <t>杨仁全,杨旭,李光英,杨明清</t>
  </si>
  <si>
    <t>F950028418557799</t>
  </si>
  <si>
    <t>覃才云</t>
  </si>
  <si>
    <t>覃海强,覃才云,彭明珍</t>
  </si>
  <si>
    <t>F950028628558339</t>
  </si>
  <si>
    <t>杨明连</t>
  </si>
  <si>
    <t>F950042042464340</t>
  </si>
  <si>
    <t>魏进康</t>
  </si>
  <si>
    <t>魏铭,龚洪润,魏登科,魏进康</t>
  </si>
  <si>
    <t>F047353142367454</t>
  </si>
  <si>
    <t>火岩村委会</t>
  </si>
  <si>
    <t>邹泽学</t>
  </si>
  <si>
    <t>邹欣燕,邹泽学,戴学春,邹霞,李桂联</t>
  </si>
  <si>
    <t>F205057459037105</t>
  </si>
  <si>
    <t>廖廷章</t>
  </si>
  <si>
    <t>向传秀,廖廷章,廖乐强,廖家情,廖家平</t>
  </si>
  <si>
    <t>F253750231829985</t>
  </si>
  <si>
    <t>邓汝容</t>
  </si>
  <si>
    <t>邓汝容,张绘,张兴明,张梦</t>
  </si>
  <si>
    <t>F309077979122333</t>
  </si>
  <si>
    <t>唐明珍</t>
  </si>
  <si>
    <t>F365557707976493</t>
  </si>
  <si>
    <t>刘安法</t>
  </si>
  <si>
    <t>F418591827716223</t>
  </si>
  <si>
    <t>邓仕堂</t>
  </si>
  <si>
    <t>黄祥芬,邓佳华,邓国富,易祥容,邓佳琼,邓仕堂</t>
  </si>
  <si>
    <t>F518830029317956</t>
  </si>
  <si>
    <t>邓勇</t>
  </si>
  <si>
    <t>邓松林,邓勇,邓汝宣,邓宇婷</t>
  </si>
  <si>
    <t>F518837686387954</t>
  </si>
  <si>
    <t>廖自钦</t>
  </si>
  <si>
    <t>廖自钦,陈定琼,廖加陈,廖乐云</t>
  </si>
  <si>
    <t>F949982077465048</t>
  </si>
  <si>
    <t>曹银珍</t>
  </si>
  <si>
    <t>F949986119652084</t>
  </si>
  <si>
    <t>邓仕燕</t>
  </si>
  <si>
    <t>F950011747151637</t>
  </si>
  <si>
    <t>邓仕旭</t>
  </si>
  <si>
    <t>邓顺薪,邓仕旭,陈朝珍</t>
  </si>
  <si>
    <t>F950013216058062</t>
  </si>
  <si>
    <t>张志银</t>
  </si>
  <si>
    <t>F950014512464681</t>
  </si>
  <si>
    <t>郑天斌</t>
  </si>
  <si>
    <t>郑天斌,郑健,李忠会</t>
  </si>
  <si>
    <t>F950014616526982</t>
  </si>
  <si>
    <t>邓仕泽</t>
  </si>
  <si>
    <t>邓冬梅,邓仕泽,邓江洪,邓国祯</t>
  </si>
  <si>
    <t>F950014962464623</t>
  </si>
  <si>
    <t>王兴禄</t>
  </si>
  <si>
    <t>王兴禄,王建均,王康</t>
  </si>
  <si>
    <t>F950014975745472</t>
  </si>
  <si>
    <t>王海丰</t>
  </si>
  <si>
    <t>F950014996526701</t>
  </si>
  <si>
    <t>廖廷万</t>
  </si>
  <si>
    <t>F950015064026842</t>
  </si>
  <si>
    <t>邹品付</t>
  </si>
  <si>
    <t>张远富,邹艳红,邹雄,邹品付</t>
  </si>
  <si>
    <t>F950015082777168</t>
  </si>
  <si>
    <t>赵朝洲</t>
  </si>
  <si>
    <t>李先萍,赵朝洲,赵德明,赵丹梅</t>
  </si>
  <si>
    <t>F950015559808192</t>
  </si>
  <si>
    <t>黄明玖</t>
  </si>
  <si>
    <t>王文平,黄军权,黄明玖</t>
  </si>
  <si>
    <t>F950016338245588</t>
  </si>
  <si>
    <t>余吉明</t>
  </si>
  <si>
    <t>F950016434808148</t>
  </si>
  <si>
    <t>邓兵</t>
  </si>
  <si>
    <t>邓兵,邓国同,张贵珍</t>
  </si>
  <si>
    <t>F950016670277095</t>
  </si>
  <si>
    <t>杨开钱</t>
  </si>
  <si>
    <t>F950016803870779</t>
  </si>
  <si>
    <t>赵朝元</t>
  </si>
  <si>
    <t>李光付,赵飞,赵朝元</t>
  </si>
  <si>
    <t>F950018343089853</t>
  </si>
  <si>
    <t>朱光付</t>
  </si>
  <si>
    <t>邓国树,朱光付</t>
  </si>
  <si>
    <t>F950020535120474</t>
  </si>
  <si>
    <t>李万财</t>
  </si>
  <si>
    <t>李万财,李勇,邓国芬,李川</t>
  </si>
  <si>
    <t>F950022758401775</t>
  </si>
  <si>
    <t>陈朝双</t>
  </si>
  <si>
    <t>F950024157464986</t>
  </si>
  <si>
    <t>邓志林</t>
  </si>
  <si>
    <t>F950024370902369</t>
  </si>
  <si>
    <t>祝贵友</t>
  </si>
  <si>
    <t>F950024679339337</t>
  </si>
  <si>
    <t>邓汝根</t>
  </si>
  <si>
    <t>刘安平,邓勇,邓汝根</t>
  </si>
  <si>
    <t>F950024844964492</t>
  </si>
  <si>
    <t>韦学贵</t>
  </si>
  <si>
    <t>韦学贵,袁松敏,韦金煌,韦岚菊</t>
  </si>
  <si>
    <t>F950025958401870</t>
  </si>
  <si>
    <t>王明英</t>
  </si>
  <si>
    <t>F950026529496265</t>
  </si>
  <si>
    <t>陈付金</t>
  </si>
  <si>
    <t>陈文涛,张一特,陈文银,陈红,陈付金,陈文川</t>
  </si>
  <si>
    <t>F950027191058345</t>
  </si>
  <si>
    <t>敖良光</t>
  </si>
  <si>
    <t>邓化斌,敖良光,敖欣怡</t>
  </si>
  <si>
    <t>F950027824651680</t>
  </si>
  <si>
    <t>邓仕英</t>
  </si>
  <si>
    <t>邓仕英,李志才</t>
  </si>
  <si>
    <t>F950027904807915</t>
  </si>
  <si>
    <t>余才娇</t>
  </si>
  <si>
    <t>F950028677151910</t>
  </si>
  <si>
    <t>邓仕奎</t>
  </si>
  <si>
    <t>邓仕奎,邓梦婷,邓小洪,邓世坤</t>
  </si>
  <si>
    <t>F950028751370774</t>
  </si>
  <si>
    <t>杨明桂</t>
  </si>
  <si>
    <t>邹登联,杨明桂</t>
  </si>
  <si>
    <t>F950028818871018</t>
  </si>
  <si>
    <t>邓仕轩</t>
  </si>
  <si>
    <t>杨正付,邓燕飞,邓仕轩</t>
  </si>
  <si>
    <t>F950030128558148</t>
  </si>
  <si>
    <t>邓建飞</t>
  </si>
  <si>
    <t>邓沿霖,邓建飞,朱光容</t>
  </si>
  <si>
    <t>F950030222308126</t>
  </si>
  <si>
    <t>李德金</t>
  </si>
  <si>
    <t>F950030787777460</t>
  </si>
  <si>
    <t>张光文</t>
  </si>
  <si>
    <t>沙玛曲尔,张光文,张芃,张地</t>
  </si>
  <si>
    <t>F950031825745782</t>
  </si>
  <si>
    <t>廖乐雯</t>
  </si>
  <si>
    <t>F950032403714095</t>
  </si>
  <si>
    <t>吕汝奎</t>
  </si>
  <si>
    <t>吕汝奎,刘正英,吕斌</t>
  </si>
  <si>
    <t>F950032830120453</t>
  </si>
  <si>
    <t>徐顺华</t>
  </si>
  <si>
    <t>李宝珍,徐顺华,徐小焱,徐代奎</t>
  </si>
  <si>
    <t>F950034415745385</t>
  </si>
  <si>
    <t>郑天金</t>
  </si>
  <si>
    <t>F950034566058562</t>
  </si>
  <si>
    <t>陈代章</t>
  </si>
  <si>
    <t>陈代章,邹正秀,陈世文</t>
  </si>
  <si>
    <t>F950035830120864</t>
  </si>
  <si>
    <t>邓华军</t>
  </si>
  <si>
    <t>F950035851214605</t>
  </si>
  <si>
    <t>祝全云</t>
  </si>
  <si>
    <t>F950036025589821</t>
  </si>
  <si>
    <t>彭道富</t>
  </si>
  <si>
    <t>F950036096839708</t>
  </si>
  <si>
    <t>邓泽军</t>
  </si>
  <si>
    <t>邓昌炼,邓泽军</t>
  </si>
  <si>
    <t>F950036166839123</t>
  </si>
  <si>
    <t>杨修珍</t>
  </si>
  <si>
    <t>F950036473870798</t>
  </si>
  <si>
    <t>刘安桂</t>
  </si>
  <si>
    <t>刘安桂,陈文香</t>
  </si>
  <si>
    <t>F950036665433048</t>
  </si>
  <si>
    <t>赵朝安</t>
  </si>
  <si>
    <t>张丙芝,赵明,汪琴,赵泽宏,赵朝安</t>
  </si>
  <si>
    <t>F950037117776641</t>
  </si>
  <si>
    <t>祝贵陆</t>
  </si>
  <si>
    <t>F950037725589032</t>
  </si>
  <si>
    <t>邹泽祥</t>
  </si>
  <si>
    <t>F950039837151664</t>
  </si>
  <si>
    <t>李世林</t>
  </si>
  <si>
    <t>F950040843714942</t>
  </si>
  <si>
    <t>邓仕远</t>
  </si>
  <si>
    <t>邓仕远,钟真英,邓晓林,邓洋</t>
  </si>
  <si>
    <t>F950041881526896</t>
  </si>
  <si>
    <t>赵成贵</t>
  </si>
  <si>
    <t>胡代蓉,赵朝雄,赵成贵</t>
  </si>
  <si>
    <t>F950042035901979</t>
  </si>
  <si>
    <t>邓国华</t>
  </si>
  <si>
    <t>邓容,邓国华,邓仕李</t>
  </si>
  <si>
    <t>F950042356697495</t>
  </si>
  <si>
    <t>张有利</t>
  </si>
  <si>
    <t>张小金,王兴财,张有利</t>
  </si>
  <si>
    <t>F950042505276979</t>
  </si>
  <si>
    <t>满学乾</t>
  </si>
  <si>
    <t>F950042857621061</t>
  </si>
  <si>
    <t>张华玖</t>
  </si>
  <si>
    <t>张华玖,张华付</t>
  </si>
  <si>
    <t>F950042972620725</t>
  </si>
  <si>
    <t>张志安</t>
  </si>
  <si>
    <t>陈文芳,张志安</t>
  </si>
  <si>
    <t>F950043181370789</t>
  </si>
  <si>
    <t>王燕雄</t>
  </si>
  <si>
    <t>张桃,王燕雄</t>
  </si>
  <si>
    <t>F950044277464401</t>
  </si>
  <si>
    <t>邓云飞</t>
  </si>
  <si>
    <t>邓云飞,邓燕</t>
  </si>
  <si>
    <t>F950044511370493</t>
  </si>
  <si>
    <t>陈代友</t>
  </si>
  <si>
    <t>杨进珍,陈善军,陈明才,陈代友</t>
  </si>
  <si>
    <t>F964310534537909</t>
  </si>
  <si>
    <t>张友根</t>
  </si>
  <si>
    <t>张友根,杨进芝</t>
  </si>
  <si>
    <t>F997661440371210</t>
  </si>
  <si>
    <t>邹品华</t>
  </si>
  <si>
    <t>邹理,李六香,邹净,邹品华</t>
  </si>
  <si>
    <t>F997686600050901</t>
  </si>
  <si>
    <t>郑天丙</t>
  </si>
  <si>
    <t>郑天丙,郑旺玖</t>
  </si>
  <si>
    <t>F997690041685253</t>
  </si>
  <si>
    <t>邹品伦</t>
  </si>
  <si>
    <t>F228526635835115</t>
  </si>
  <si>
    <t>杨柳村委会</t>
  </si>
  <si>
    <t>李其友</t>
  </si>
  <si>
    <t>李其友,胡晓梅</t>
  </si>
  <si>
    <t>F236023198041409</t>
  </si>
  <si>
    <t>陈善均</t>
  </si>
  <si>
    <t>吴成芳,吴芯乐,陈善均,吴永华,陈琼,李世权,吴成慧,吴兴林</t>
  </si>
  <si>
    <t>F236047618822896</t>
  </si>
  <si>
    <t>邹泽学,唐寿芝</t>
  </si>
  <si>
    <t>F236051276010144</t>
  </si>
  <si>
    <t>汤富根</t>
  </si>
  <si>
    <t>汤富根,邹品珍</t>
  </si>
  <si>
    <t>F323252070735143</t>
  </si>
  <si>
    <t>高朝纯</t>
  </si>
  <si>
    <t>高朝纯,高雅文,高俊峰,汤富兰</t>
  </si>
  <si>
    <t>F442154774611536</t>
  </si>
  <si>
    <t>黄祥华</t>
  </si>
  <si>
    <t>F701288637291113</t>
  </si>
  <si>
    <t>杨义华</t>
  </si>
  <si>
    <t>陈善分,杨义华</t>
  </si>
  <si>
    <t>F831224073268654</t>
  </si>
  <si>
    <t>宋国衡</t>
  </si>
  <si>
    <t>吴胜珍,宋加利,宋国衡</t>
  </si>
  <si>
    <t>F934077567900948</t>
  </si>
  <si>
    <t>唐寿文</t>
  </si>
  <si>
    <t>唐寿银,唐寿文</t>
  </si>
  <si>
    <t>F939977970358838</t>
  </si>
  <si>
    <t>魏兴珍</t>
  </si>
  <si>
    <t>F941323619704479</t>
  </si>
  <si>
    <t>罗时金</t>
  </si>
  <si>
    <t>F941327319079434</t>
  </si>
  <si>
    <t>邹泽芝</t>
  </si>
  <si>
    <t>邹泽芝,陈名超,陈善举</t>
  </si>
  <si>
    <t>F949194622620689</t>
  </si>
  <si>
    <t>陈旭东</t>
  </si>
  <si>
    <t>郑贵根,陈旭东</t>
  </si>
  <si>
    <t>F949984302933053</t>
  </si>
  <si>
    <t>汤富学</t>
  </si>
  <si>
    <t>F949984424651909</t>
  </si>
  <si>
    <t>邓英</t>
  </si>
  <si>
    <t>吴艳茜,吴萍,邓英,吴胜贵</t>
  </si>
  <si>
    <t>F950009599495470</t>
  </si>
  <si>
    <t>汤荣贵</t>
  </si>
  <si>
    <t>汤昌均,汤荣贵</t>
  </si>
  <si>
    <t>F950011394183152</t>
  </si>
  <si>
    <t>唐新云</t>
  </si>
  <si>
    <t>唐新云,唐明建,汤远芬</t>
  </si>
  <si>
    <t>F950011534026626</t>
  </si>
  <si>
    <t>邓国池</t>
  </si>
  <si>
    <t>F950011644807959</t>
  </si>
  <si>
    <t>谭玉超</t>
  </si>
  <si>
    <t>谭玉超,郑天佑</t>
  </si>
  <si>
    <t>F950013751214453</t>
  </si>
  <si>
    <t>李世兴</t>
  </si>
  <si>
    <t>F950015159807850</t>
  </si>
  <si>
    <t>罗全分</t>
  </si>
  <si>
    <t>F950015377777234</t>
  </si>
  <si>
    <t>汤付友</t>
  </si>
  <si>
    <t>熊光琴,汤东,汤贵琴,张志珍,汤贵平,汤付友</t>
  </si>
  <si>
    <t>F950016484964993</t>
  </si>
  <si>
    <t>王庆珍</t>
  </si>
  <si>
    <t>F950018363089349</t>
  </si>
  <si>
    <t>吕登富</t>
  </si>
  <si>
    <t>吕登富,吴万根</t>
  </si>
  <si>
    <t>F950020783558687</t>
  </si>
  <si>
    <t>邹品友</t>
  </si>
  <si>
    <t>F950029127464518</t>
  </si>
  <si>
    <t>陈善华</t>
  </si>
  <si>
    <t>陈善华,陈名平</t>
  </si>
  <si>
    <t>F950030354808063</t>
  </si>
  <si>
    <t>唐兴伦</t>
  </si>
  <si>
    <t>唐雨菡,唐兴伦,唐小东</t>
  </si>
  <si>
    <t>F950031871527106</t>
  </si>
  <si>
    <t>周正兰</t>
  </si>
  <si>
    <t>F950032293401861</t>
  </si>
  <si>
    <t>张永付</t>
  </si>
  <si>
    <t>张永付,张容</t>
  </si>
  <si>
    <t>F950034937464544</t>
  </si>
  <si>
    <t>汤昌国</t>
  </si>
  <si>
    <t>汤昌国,祝贵玉</t>
  </si>
  <si>
    <t>F950037749339384</t>
  </si>
  <si>
    <t>何国军</t>
  </si>
  <si>
    <t>何顺文,何碧连,何国军,王方芽</t>
  </si>
  <si>
    <t>F950037934964934</t>
  </si>
  <si>
    <t>杨进华</t>
  </si>
  <si>
    <t>魏兴友,杨丽虹,杨婷婷,杨进华,刘六坪,杨胜银,杨勇</t>
  </si>
  <si>
    <t>F950037949495439</t>
  </si>
  <si>
    <t>聂云秀</t>
  </si>
  <si>
    <t>王庆军,聂云秀</t>
  </si>
  <si>
    <t>F950038039183444</t>
  </si>
  <si>
    <t>陈代银</t>
  </si>
  <si>
    <t>汤昌富,陈代银</t>
  </si>
  <si>
    <t>F950038687621177</t>
  </si>
  <si>
    <t>杨佐金</t>
  </si>
  <si>
    <t>F950038771214154</t>
  </si>
  <si>
    <t>汤昌财</t>
  </si>
  <si>
    <t>F950039755120567</t>
  </si>
  <si>
    <t>何代元</t>
  </si>
  <si>
    <t>F950040178558221</t>
  </si>
  <si>
    <t>邓仕永</t>
  </si>
  <si>
    <t>邓强,邓仕永</t>
  </si>
  <si>
    <t>F950040931370903</t>
  </si>
  <si>
    <t>李贤友</t>
  </si>
  <si>
    <t>陈尚珍,李贤友</t>
  </si>
  <si>
    <t>F950041081058073</t>
  </si>
  <si>
    <t>邓昌林</t>
  </si>
  <si>
    <t>邓仕海,邓昌林,邓春,杨义英</t>
  </si>
  <si>
    <t>F950042314495584</t>
  </si>
  <si>
    <t>邹先金</t>
  </si>
  <si>
    <t>邹泽均,邹先金</t>
  </si>
  <si>
    <t>F950042806683578</t>
  </si>
  <si>
    <t>邓昌奎</t>
  </si>
  <si>
    <t>邓君,邓昌奎,王凤云</t>
  </si>
  <si>
    <t>F969224677717835</t>
  </si>
  <si>
    <t>邓仕康</t>
  </si>
  <si>
    <t>饶玉英,邓仕康,邓翔友</t>
  </si>
  <si>
    <t>F072376804397753</t>
  </si>
  <si>
    <t>共和村委会</t>
  </si>
  <si>
    <t>赵朝根</t>
  </si>
  <si>
    <t>粟多芝,赵敏,龙太顺,赵美,赵朝根</t>
  </si>
  <si>
    <t>F213500567434640</t>
  </si>
  <si>
    <t>唐官雄</t>
  </si>
  <si>
    <t>唐官雄,伍朝玉,唐清林</t>
  </si>
  <si>
    <t>F215308806653253</t>
  </si>
  <si>
    <t>陈文寿</t>
  </si>
  <si>
    <t>曹远林,陈明平,陈文寿,陈鑫宇</t>
  </si>
  <si>
    <t>F323259065266342</t>
  </si>
  <si>
    <t>李子金</t>
  </si>
  <si>
    <t>F575856511888439</t>
  </si>
  <si>
    <t>文伯珍</t>
  </si>
  <si>
    <t>F599782162000730</t>
  </si>
  <si>
    <t>杨洪</t>
  </si>
  <si>
    <t>F627828452835800</t>
  </si>
  <si>
    <t>韦佐银</t>
  </si>
  <si>
    <t>韦佐银,韦世友</t>
  </si>
  <si>
    <t>F784260120469299</t>
  </si>
  <si>
    <t>廖明清</t>
  </si>
  <si>
    <t>文华根,廖国雄,廖语彤,廖明清</t>
  </si>
  <si>
    <t>F934076529619707</t>
  </si>
  <si>
    <t>邹泽松</t>
  </si>
  <si>
    <t>邹泽松,邹泽荣</t>
  </si>
  <si>
    <t>F949984010901901</t>
  </si>
  <si>
    <t>陈光林</t>
  </si>
  <si>
    <t>高明学,陈辉容,陈辉洪,陈辉利,陈光林</t>
  </si>
  <si>
    <t>F950011687464770</t>
  </si>
  <si>
    <t>张俊陆</t>
  </si>
  <si>
    <t>邹泽银,张俊陆</t>
  </si>
  <si>
    <t>F950014481057821</t>
  </si>
  <si>
    <t>杨友才</t>
  </si>
  <si>
    <t>杨友才,杨明雄</t>
  </si>
  <si>
    <t>F950014587777408</t>
  </si>
  <si>
    <t>邓明富</t>
  </si>
  <si>
    <t>F950015250120384</t>
  </si>
  <si>
    <t>魏登强</t>
  </si>
  <si>
    <t>F950015547464365</t>
  </si>
  <si>
    <t>邹泽贵</t>
  </si>
  <si>
    <t>F950015646370821</t>
  </si>
  <si>
    <t>孙德芬</t>
  </si>
  <si>
    <t>F950015722464468</t>
  </si>
  <si>
    <t>熊佰友</t>
  </si>
  <si>
    <t>F950018299027048</t>
  </si>
  <si>
    <t>孙清林</t>
  </si>
  <si>
    <t>吴天珍,孙清林,孙世洪,陈善平,孙世琼</t>
  </si>
  <si>
    <t>F950020694965011</t>
  </si>
  <si>
    <t>邓仕春</t>
  </si>
  <si>
    <t>邓仕春,邹银先</t>
  </si>
  <si>
    <t>F950022645433889</t>
  </si>
  <si>
    <t>F950024586526725</t>
  </si>
  <si>
    <t>曹华芝</t>
  </si>
  <si>
    <t>F950024660745820</t>
  </si>
  <si>
    <t>胡成才</t>
  </si>
  <si>
    <t>F950024710120433</t>
  </si>
  <si>
    <t>苏益才</t>
  </si>
  <si>
    <t>张明珍,苏益才</t>
  </si>
  <si>
    <t>F950025003558007</t>
  </si>
  <si>
    <t>李子银</t>
  </si>
  <si>
    <t>邹蕊吉,李子银</t>
  </si>
  <si>
    <t>F950025885589459</t>
  </si>
  <si>
    <t>邓仕容</t>
  </si>
  <si>
    <t>F950025911683677</t>
  </si>
  <si>
    <t>魏登春</t>
  </si>
  <si>
    <t>F950026120589402</t>
  </si>
  <si>
    <t>吴久平</t>
  </si>
  <si>
    <t>赵修才,吴久平</t>
  </si>
  <si>
    <t>F950026260901876</t>
  </si>
  <si>
    <t>邓汝勋</t>
  </si>
  <si>
    <t>邓汝勋,杨云翠,邓语婷,邓文斌,邓世海</t>
  </si>
  <si>
    <t>F950026399808300</t>
  </si>
  <si>
    <t>李顺珍</t>
  </si>
  <si>
    <t>F950026459026877</t>
  </si>
  <si>
    <t>郑贵成</t>
  </si>
  <si>
    <t>F950027891526997</t>
  </si>
  <si>
    <t>袁松林</t>
  </si>
  <si>
    <t>张再义,袁松林,袁斌</t>
  </si>
  <si>
    <t>F950028157933192</t>
  </si>
  <si>
    <t>王应忠</t>
  </si>
  <si>
    <t>聂交容,王海云,王应忠</t>
  </si>
  <si>
    <t>F950028671058548</t>
  </si>
  <si>
    <t>陈炳辉</t>
  </si>
  <si>
    <t>F950028709027182</t>
  </si>
  <si>
    <t>廖廷刚</t>
  </si>
  <si>
    <t>杨进凤,廖廷刚</t>
  </si>
  <si>
    <t>F950028809495972</t>
  </si>
  <si>
    <t>邓仕平</t>
  </si>
  <si>
    <t>蒲远忠,邓仕平,陈辉才,蒲显清,蒲远华</t>
  </si>
  <si>
    <t>F950029966995643</t>
  </si>
  <si>
    <t>张连贵</t>
  </si>
  <si>
    <t>F950030777309356</t>
  </si>
  <si>
    <t>廖乐平</t>
  </si>
  <si>
    <t>廖乐平,廖帅龙</t>
  </si>
  <si>
    <t>F950031021683362</t>
  </si>
  <si>
    <t>熊伯权</t>
  </si>
  <si>
    <t>熊伯权,廖乐才,许文友,熊世文</t>
  </si>
  <si>
    <t>F950033804808726</t>
  </si>
  <si>
    <t>魏登华</t>
  </si>
  <si>
    <t>F950033909495369</t>
  </si>
  <si>
    <t>刘显福</t>
  </si>
  <si>
    <t>F950034834026861</t>
  </si>
  <si>
    <t>李子刚</t>
  </si>
  <si>
    <t>李子刚,袁富容,李春福</t>
  </si>
  <si>
    <t>F950036329183311</t>
  </si>
  <si>
    <t>李泽清</t>
  </si>
  <si>
    <t>李泽清,王先平</t>
  </si>
  <si>
    <t>F950036911214369</t>
  </si>
  <si>
    <t>何代兴</t>
  </si>
  <si>
    <t>F950037145121204</t>
  </si>
  <si>
    <t>邹品江</t>
  </si>
  <si>
    <t>廖乐芝,邹品江</t>
  </si>
  <si>
    <t>F950038723558188</t>
  </si>
  <si>
    <t>张贵才</t>
  </si>
  <si>
    <t>周光贵,张福金,张贵才</t>
  </si>
  <si>
    <t>F950038959183444</t>
  </si>
  <si>
    <t>邹俊</t>
  </si>
  <si>
    <t>邓昌秀,邹春燕,邹强,邹俊</t>
  </si>
  <si>
    <t>F950039896214169</t>
  </si>
  <si>
    <t>粱农福</t>
  </si>
  <si>
    <t>F950040325745678</t>
  </si>
  <si>
    <t>胡学英</t>
  </si>
  <si>
    <t>F950040508871052</t>
  </si>
  <si>
    <t>向有珍</t>
  </si>
  <si>
    <t>向有珍,杨定岗,杨明华</t>
  </si>
  <si>
    <t>F950042277308058</t>
  </si>
  <si>
    <t>邓泽云</t>
  </si>
  <si>
    <t>F950043082933256</t>
  </si>
  <si>
    <t>汤昌友</t>
  </si>
  <si>
    <t>汤昌友,邹思谣,邹富先,邹利</t>
  </si>
  <si>
    <t>F950044063089414</t>
  </si>
  <si>
    <t>陈华刚</t>
  </si>
  <si>
    <t>F025497170913672</t>
  </si>
  <si>
    <t>月坝村委会</t>
  </si>
  <si>
    <t>魏志明</t>
  </si>
  <si>
    <t>F181201760619529</t>
  </si>
  <si>
    <t>吴永兵</t>
  </si>
  <si>
    <t>F181203881168029</t>
  </si>
  <si>
    <t>张志权</t>
  </si>
  <si>
    <t>F181205612604719</t>
  </si>
  <si>
    <t>文茂才</t>
  </si>
  <si>
    <t>F255847900222658</t>
  </si>
  <si>
    <t>吴刘涛</t>
  </si>
  <si>
    <t>吴万彭,吴维琳,吴刘涛,吴克</t>
  </si>
  <si>
    <t>F291095562103004</t>
  </si>
  <si>
    <t>廖廷贵</t>
  </si>
  <si>
    <t>廖廷贵,廖乐斌,罗应琼</t>
  </si>
  <si>
    <t>F291100560697523</t>
  </si>
  <si>
    <t>刘兴凯</t>
  </si>
  <si>
    <t>F306256121052978</t>
  </si>
  <si>
    <t>田远光</t>
  </si>
  <si>
    <t>魏波,田志容,黄友全,田远光,魏进华</t>
  </si>
  <si>
    <t>F363027276892490</t>
  </si>
  <si>
    <t>张再上</t>
  </si>
  <si>
    <t>张荣,张嘉艺,张再上</t>
  </si>
  <si>
    <t>F410843975441567</t>
  </si>
  <si>
    <t>刘正权</t>
  </si>
  <si>
    <t>刘峪材,何彦清,刘正权,刘语彤,刘兴杰,杨元秀</t>
  </si>
  <si>
    <t>F443394495716108</t>
  </si>
  <si>
    <t>刘志康</t>
  </si>
  <si>
    <t>刘兵,刘志康</t>
  </si>
  <si>
    <t>F443398578841314</t>
  </si>
  <si>
    <t>赵纯亨</t>
  </si>
  <si>
    <t>赵纯亨,赵成权</t>
  </si>
  <si>
    <t>F884843182863382</t>
  </si>
  <si>
    <t>欧光原</t>
  </si>
  <si>
    <t>欧伟,欧光原</t>
  </si>
  <si>
    <t>F942060388923200</t>
  </si>
  <si>
    <t>张志金</t>
  </si>
  <si>
    <t>李付才,张志金</t>
  </si>
  <si>
    <t>F950011690745361</t>
  </si>
  <si>
    <t>张朝元</t>
  </si>
  <si>
    <t>陈兰秀,张朝元,张力分,张廷芳</t>
  </si>
  <si>
    <t>F950012979026572</t>
  </si>
  <si>
    <t>祝贵康</t>
  </si>
  <si>
    <t>廖春燕,祝全珍,祝全兵,祝贵康,张志付,祝远林</t>
  </si>
  <si>
    <t>F950013149026631</t>
  </si>
  <si>
    <t>张远汉</t>
  </si>
  <si>
    <t>张富贵,张远汉,王修珍</t>
  </si>
  <si>
    <t>F950020345277020</t>
  </si>
  <si>
    <t>刘兴陆</t>
  </si>
  <si>
    <t>刘治,刘兴陆</t>
  </si>
  <si>
    <t>F950020402620968</t>
  </si>
  <si>
    <t>赵友亨</t>
  </si>
  <si>
    <t>F950024132308150</t>
  </si>
  <si>
    <t>罗建军</t>
  </si>
  <si>
    <t>罗建军,罗文根,廖朝金,罗钦琳</t>
  </si>
  <si>
    <t>F950024309964061</t>
  </si>
  <si>
    <t>李昌海</t>
  </si>
  <si>
    <t>F950028222776640</t>
  </si>
  <si>
    <t>周文耀</t>
  </si>
  <si>
    <t>周正洪,周彬,周文耀,周锌源</t>
  </si>
  <si>
    <t>F950029162464036</t>
  </si>
  <si>
    <t>袁孔珍</t>
  </si>
  <si>
    <t>欧超,欧美林,袁孔珍,欧光金</t>
  </si>
  <si>
    <t>F950030616683499</t>
  </si>
  <si>
    <t>刘志德</t>
  </si>
  <si>
    <t>刘佳林,刘国明,刘志德</t>
  </si>
  <si>
    <t>F950031067308536</t>
  </si>
  <si>
    <t>赵朝海</t>
  </si>
  <si>
    <t>赵宇航,赵德强,赵小洪,赵朝海,朱玉香</t>
  </si>
  <si>
    <t>F950032077776922</t>
  </si>
  <si>
    <t>魏述斌</t>
  </si>
  <si>
    <t>魏述斌,王付容,魏超</t>
  </si>
  <si>
    <t>F950032311839297</t>
  </si>
  <si>
    <t>刘兴容</t>
  </si>
  <si>
    <t>F950032425433089</t>
  </si>
  <si>
    <t>张再堂</t>
  </si>
  <si>
    <t>张鸿鑫,张珍萍,黄明润,张再堂</t>
  </si>
  <si>
    <t>F950032930277210</t>
  </si>
  <si>
    <t>张忠才</t>
  </si>
  <si>
    <t>杨银香,张兴汝,张忠才,张炜</t>
  </si>
  <si>
    <t>F950033950433289</t>
  </si>
  <si>
    <t>王建国</t>
  </si>
  <si>
    <t>赵成莲,王涛,王建国</t>
  </si>
  <si>
    <t>F950035191214382</t>
  </si>
  <si>
    <t>周文高</t>
  </si>
  <si>
    <t>F950036015589513</t>
  </si>
  <si>
    <t>罗文玉</t>
  </si>
  <si>
    <t>F950036410745682</t>
  </si>
  <si>
    <t>吴代炳</t>
  </si>
  <si>
    <t>吴代炳,欧光容</t>
  </si>
  <si>
    <t>F950037036370574</t>
  </si>
  <si>
    <t>孙德孝</t>
  </si>
  <si>
    <t>王述容,孙德孝</t>
  </si>
  <si>
    <t>F950038017620830</t>
  </si>
  <si>
    <t>徐光恒</t>
  </si>
  <si>
    <t>F950038169651980</t>
  </si>
  <si>
    <t>刘兴利</t>
  </si>
  <si>
    <t>袁孔明,刘兴利</t>
  </si>
  <si>
    <t>F950041016839910</t>
  </si>
  <si>
    <t>郑天伦</t>
  </si>
  <si>
    <t>F950042363089481</t>
  </si>
  <si>
    <t>吴代春</t>
  </si>
  <si>
    <t>吴代春,张樟</t>
  </si>
  <si>
    <t>F950042511214513</t>
  </si>
  <si>
    <t>赵朝寿</t>
  </si>
  <si>
    <t>邓国秀,赵德均,孙秀英,赵伟林,赵朝寿,赵阳阳</t>
  </si>
  <si>
    <t>F974510228713728</t>
  </si>
  <si>
    <t>文茂法</t>
  </si>
  <si>
    <t>吴通才,文茂法,文强</t>
  </si>
  <si>
    <t>F333942622888299</t>
  </si>
  <si>
    <t>官田村委会</t>
  </si>
  <si>
    <t>熊琪</t>
  </si>
  <si>
    <t>熊磊,熊琪,卜二玲</t>
  </si>
  <si>
    <t>F362636430327787</t>
  </si>
  <si>
    <t>胡长杰</t>
  </si>
  <si>
    <t>胡长杰,杨小玲,胡婷婷,胡军</t>
  </si>
  <si>
    <t>F549916361221811</t>
  </si>
  <si>
    <t>曾仕和</t>
  </si>
  <si>
    <t>魏萍,曾自懋,曾仕和,曾自艳</t>
  </si>
  <si>
    <t>F623085164709419</t>
  </si>
  <si>
    <t>李其</t>
  </si>
  <si>
    <t>李斯平,吴国秀,李其,李斯晴,李斯洁</t>
  </si>
  <si>
    <t>F627824275492054</t>
  </si>
  <si>
    <t>杨通金</t>
  </si>
  <si>
    <t>杨小琴,康付兰,童斯,杨通金,童钰</t>
  </si>
  <si>
    <t>F805708110068367</t>
  </si>
  <si>
    <t>何永金</t>
  </si>
  <si>
    <t>李吉凤,何永金</t>
  </si>
  <si>
    <t>F950015751058163</t>
  </si>
  <si>
    <t>曾元珍</t>
  </si>
  <si>
    <t>F950026241839191</t>
  </si>
  <si>
    <t>刘志才</t>
  </si>
  <si>
    <t>刘志才,刘开云</t>
  </si>
  <si>
    <t>F950028821839339</t>
  </si>
  <si>
    <t>孙秀明</t>
  </si>
  <si>
    <t>孙维萍,杨孝容,孙秀明,孙炜</t>
  </si>
  <si>
    <t>F950032816682903</t>
  </si>
  <si>
    <t>悦祖元</t>
  </si>
  <si>
    <t>悦训林,悦琴,悦祖元</t>
  </si>
  <si>
    <t>F950033741683044</t>
  </si>
  <si>
    <t>刘开富</t>
  </si>
  <si>
    <t>刘开富,刘志全,杨昌桂</t>
  </si>
  <si>
    <t>F950034047308296</t>
  </si>
  <si>
    <t>黄祥英</t>
  </si>
  <si>
    <t>F950042623714663</t>
  </si>
  <si>
    <t>廖德伟</t>
  </si>
  <si>
    <t>F964313119539192</t>
  </si>
  <si>
    <t>何永刚</t>
  </si>
  <si>
    <t>何永刚,何思辰</t>
  </si>
  <si>
    <t>F235377381805906</t>
  </si>
  <si>
    <t>凤凰村委会</t>
  </si>
  <si>
    <t>陈代容</t>
  </si>
  <si>
    <t>F235379994090144</t>
  </si>
  <si>
    <t>高连香</t>
  </si>
  <si>
    <t>高连香,张廷英,文江华</t>
  </si>
  <si>
    <t>F235383557762057</t>
  </si>
  <si>
    <t>何万书</t>
  </si>
  <si>
    <t>F466094761847940</t>
  </si>
  <si>
    <t>杨怀富</t>
  </si>
  <si>
    <t>杨怀富,杨涛,邹泽琼</t>
  </si>
  <si>
    <t>F466097796377954</t>
  </si>
  <si>
    <t>杨怀</t>
  </si>
  <si>
    <t>杨怀,邹鲁,杨雪霞</t>
  </si>
  <si>
    <t>F547742905886266</t>
  </si>
  <si>
    <t>邹代均</t>
  </si>
  <si>
    <t>邹代均,林代贵</t>
  </si>
  <si>
    <t>F785782587656787</t>
  </si>
  <si>
    <t>邹金</t>
  </si>
  <si>
    <t>F813063774727138</t>
  </si>
  <si>
    <t>夏贵芝</t>
  </si>
  <si>
    <t>F813064989356020</t>
  </si>
  <si>
    <t>温友权</t>
  </si>
  <si>
    <t>F934077646807229</t>
  </si>
  <si>
    <t>覃海莲</t>
  </si>
  <si>
    <t>F950011744183098</t>
  </si>
  <si>
    <t>邹朝胜</t>
  </si>
  <si>
    <t>李开武,邹朝胜,邹杜刚</t>
  </si>
  <si>
    <t>F950018423870640</t>
  </si>
  <si>
    <t>涂太英</t>
  </si>
  <si>
    <t>F950018524651714</t>
  </si>
  <si>
    <t>杨再英</t>
  </si>
  <si>
    <t>F950020353714404</t>
  </si>
  <si>
    <t>邹登伦</t>
  </si>
  <si>
    <t>吴和会,邹登伦</t>
  </si>
  <si>
    <t>F950020436995334</t>
  </si>
  <si>
    <t>杨光斌</t>
  </si>
  <si>
    <t>F950024270745835</t>
  </si>
  <si>
    <t>柳亿昌</t>
  </si>
  <si>
    <t>柳亿昌,柳浩然,柳强</t>
  </si>
  <si>
    <t>F950027114339122</t>
  </si>
  <si>
    <t>邹代兵</t>
  </si>
  <si>
    <t>邹代兵,刘志莲,邹强</t>
  </si>
  <si>
    <t>F950028346526597</t>
  </si>
  <si>
    <t>魏志亮</t>
  </si>
  <si>
    <t>陈中贵,魏志亮</t>
  </si>
  <si>
    <t>F950028920120382</t>
  </si>
  <si>
    <t>龚万容</t>
  </si>
  <si>
    <t>龚万容,聂容</t>
  </si>
  <si>
    <t>F950030638402297</t>
  </si>
  <si>
    <t>黄仁涛</t>
  </si>
  <si>
    <t>黄仁涛,温定珍,严晓凤</t>
  </si>
  <si>
    <t>F950034837620500</t>
  </si>
  <si>
    <t>邹登艮</t>
  </si>
  <si>
    <t>邹登艮,童志荣,邹焕铨</t>
  </si>
  <si>
    <t>F950036733089591</t>
  </si>
  <si>
    <t>周学华</t>
  </si>
  <si>
    <t>吴万珍,周学华</t>
  </si>
  <si>
    <t>F950038907151848</t>
  </si>
  <si>
    <t>邹登贤</t>
  </si>
  <si>
    <t>李丹,邹贵玉,邹玥婷,吴永珍,邹朝旗,邹登贤,邹梓晴</t>
  </si>
  <si>
    <t>F950039240277062</t>
  </si>
  <si>
    <t>徐仕珍</t>
  </si>
  <si>
    <t>徐仕珍,聂小兰,聂春梅</t>
  </si>
  <si>
    <t>F950040443401759</t>
  </si>
  <si>
    <t>黎仕贵</t>
  </si>
  <si>
    <t>黄秀金,黎仕贵</t>
  </si>
  <si>
    <t>F950042738558032</t>
  </si>
  <si>
    <t>邹登书</t>
  </si>
  <si>
    <t>邹登书,邹会强</t>
  </si>
  <si>
    <t>F950043145901962</t>
  </si>
  <si>
    <t>周成毕</t>
  </si>
  <si>
    <t>F950044310589511</t>
  </si>
  <si>
    <t>陈光显</t>
  </si>
  <si>
    <t>陈光显,夏福连</t>
  </si>
  <si>
    <t>F950044792464275</t>
  </si>
  <si>
    <t>熊兴珍</t>
  </si>
  <si>
    <t>邹登枢,熊兴珍</t>
  </si>
  <si>
    <t>F992670030815370</t>
  </si>
  <si>
    <t>粟多才</t>
  </si>
  <si>
    <t>粟冰,粟秋宇,粟多才</t>
  </si>
  <si>
    <t>F157683910591968</t>
  </si>
  <si>
    <t>沙溪村委会</t>
  </si>
  <si>
    <t>邹斌</t>
  </si>
  <si>
    <t>邹斌,黎廷银,邹品银</t>
  </si>
  <si>
    <t>F228534427479644</t>
  </si>
  <si>
    <t>刘远军</t>
  </si>
  <si>
    <t>刘延超,潘成孝,刘远军,陈静,刘俊含</t>
  </si>
  <si>
    <t>F235384652635279</t>
  </si>
  <si>
    <t>周含芳</t>
  </si>
  <si>
    <t>F235386139334399</t>
  </si>
  <si>
    <t>魏志根</t>
  </si>
  <si>
    <t>魏航,魏小义,魏志根,魏丹,邹登贵</t>
  </si>
  <si>
    <t>F235389604441927</t>
  </si>
  <si>
    <t>魏进林</t>
  </si>
  <si>
    <t>杨万财,魏进林,魏容,魏雨婷,王正芬,魏玉文</t>
  </si>
  <si>
    <t>F235619241796687</t>
  </si>
  <si>
    <t>魏志贤</t>
  </si>
  <si>
    <t>F291101912728382</t>
  </si>
  <si>
    <t>陈德财</t>
  </si>
  <si>
    <t>陈德财,陆再芬,陈华宇</t>
  </si>
  <si>
    <t>F309078954982837</t>
  </si>
  <si>
    <t>罗文有</t>
  </si>
  <si>
    <t>罗敏,张跃芬,罗文有</t>
  </si>
  <si>
    <t>F348108896030903</t>
  </si>
  <si>
    <t>童志有</t>
  </si>
  <si>
    <t>童志才,童志有</t>
  </si>
  <si>
    <t>F439076716966437</t>
  </si>
  <si>
    <t>杨进福</t>
  </si>
  <si>
    <t>杨再军,杨进福,赵学莲,杨在强,杨正源</t>
  </si>
  <si>
    <t>F490349009097979</t>
  </si>
  <si>
    <t>孙俊文</t>
  </si>
  <si>
    <t>孙俊文,龚再容</t>
  </si>
  <si>
    <t>F623381307054570</t>
  </si>
  <si>
    <t>魏志相</t>
  </si>
  <si>
    <t>魏皓,魏登朋,王来珍,魏进忠,龙志会,魏志相</t>
  </si>
  <si>
    <t>F623390249398313</t>
  </si>
  <si>
    <t>邹朝兵</t>
  </si>
  <si>
    <t>邹佳,邹朝兵,吴帮玉</t>
  </si>
  <si>
    <t>F950015049808281</t>
  </si>
  <si>
    <t>朱光红</t>
  </si>
  <si>
    <t>朱光红,朱晓玲,朱小强,朱意涵,朱曦羽</t>
  </si>
  <si>
    <t>F950015113557777</t>
  </si>
  <si>
    <t>魏进银</t>
  </si>
  <si>
    <t>周友珍,魏进银</t>
  </si>
  <si>
    <t>F950020704808448</t>
  </si>
  <si>
    <t>张礼祥</t>
  </si>
  <si>
    <t>张颖,张礼祥</t>
  </si>
  <si>
    <t>F950025850901758</t>
  </si>
  <si>
    <t>陈云章</t>
  </si>
  <si>
    <t>李术金,陈世高,陈云章</t>
  </si>
  <si>
    <t>F950026125745851</t>
  </si>
  <si>
    <t>杨光才</t>
  </si>
  <si>
    <t>杨光才,白钱兴,杨通福,杨昌沐,杨昌平</t>
  </si>
  <si>
    <t>F950027234651922</t>
  </si>
  <si>
    <t>夏万雄</t>
  </si>
  <si>
    <t>夏万雄,唐光珍</t>
  </si>
  <si>
    <t>F950027991694205</t>
  </si>
  <si>
    <t>张贤右</t>
  </si>
  <si>
    <t>杨少群,张礼清,张贤右</t>
  </si>
  <si>
    <t>F950028415589632</t>
  </si>
  <si>
    <t>罗安秀</t>
  </si>
  <si>
    <t>罗安秀,邓焜桦,杨再红</t>
  </si>
  <si>
    <t>F950028506526928</t>
  </si>
  <si>
    <t>陈为明</t>
  </si>
  <si>
    <t>辜术英,陈为明,邹朝芝</t>
  </si>
  <si>
    <t>F950028969495373</t>
  </si>
  <si>
    <t>夏贵军</t>
  </si>
  <si>
    <t>杨加珍,夏贵军,夏万春</t>
  </si>
  <si>
    <t>F950029814495851</t>
  </si>
  <si>
    <t>魏志斌</t>
  </si>
  <si>
    <t>魏进春,邹登贵,魏志斌</t>
  </si>
  <si>
    <t>F950030200745721</t>
  </si>
  <si>
    <t>段远祥</t>
  </si>
  <si>
    <t>段远霞,段远祥,段远超</t>
  </si>
  <si>
    <t>F950030819807940</t>
  </si>
  <si>
    <t>刘银招</t>
  </si>
  <si>
    <t>F950031046683413</t>
  </si>
  <si>
    <t>胡长均</t>
  </si>
  <si>
    <t>陈明凤,杨绍连,胡长均,范梦瑶,胡明瑞,胡明阳</t>
  </si>
  <si>
    <t>F950032572151681</t>
  </si>
  <si>
    <t>陈六全</t>
  </si>
  <si>
    <t>陈林,陈六恒,陈六全,陈真容</t>
  </si>
  <si>
    <t>F950034171370753</t>
  </si>
  <si>
    <t>张礼宏</t>
  </si>
  <si>
    <t>F950034263402262</t>
  </si>
  <si>
    <t>夏玉珍</t>
  </si>
  <si>
    <t>F950036018871014</t>
  </si>
  <si>
    <t>蓝永全</t>
  </si>
  <si>
    <t>罗明银,蓝正兵,蓝永全,赵燕</t>
  </si>
  <si>
    <t>F950040602308221</t>
  </si>
  <si>
    <t>罗绍斌</t>
  </si>
  <si>
    <t>杨国芬,罗绍斌,罗兴科</t>
  </si>
  <si>
    <t>F950040625120592</t>
  </si>
  <si>
    <t>吴金田</t>
  </si>
  <si>
    <t>F950042641995566</t>
  </si>
  <si>
    <t>杨荣春</t>
  </si>
  <si>
    <t>杨荣春,杨宁,王祯平</t>
  </si>
  <si>
    <t>F950042651839307</t>
  </si>
  <si>
    <t>魏波</t>
  </si>
  <si>
    <t>邹品容,魏波,魏玉邹,魏玉娇,魏嘉梅</t>
  </si>
  <si>
    <t>F970739945256998</t>
  </si>
  <si>
    <t>邹登贵</t>
  </si>
  <si>
    <t>黎荣萍,邹登贵,杨浩鑫</t>
  </si>
  <si>
    <t>F992651566682138</t>
  </si>
  <si>
    <t>王尊明</t>
  </si>
  <si>
    <t>王尊明,王萍,王强,张礼香</t>
  </si>
  <si>
    <t>F992659665396193</t>
  </si>
  <si>
    <t>林洪新</t>
  </si>
  <si>
    <t>向乾玉,林洪新</t>
  </si>
  <si>
    <t>F181209348163447</t>
  </si>
  <si>
    <t>河口村委会</t>
  </si>
  <si>
    <t>邹国君</t>
  </si>
  <si>
    <t>F211996937747887</t>
  </si>
  <si>
    <t>杨昌兴</t>
  </si>
  <si>
    <t>F364142814059209</t>
  </si>
  <si>
    <t>杨杰</t>
  </si>
  <si>
    <t>F417293233912288</t>
  </si>
  <si>
    <t>文永富</t>
  </si>
  <si>
    <t>郑大秀,文健强,文永富,文玉友</t>
  </si>
  <si>
    <t>F417295825855695</t>
  </si>
  <si>
    <t>余德川</t>
  </si>
  <si>
    <t>彭明根,余德川,余流江</t>
  </si>
  <si>
    <t>F627836440335827</t>
  </si>
  <si>
    <t>刘应泽</t>
  </si>
  <si>
    <t>刘芯瑞,刘奎,刘应泽</t>
  </si>
  <si>
    <t>F674938399847952</t>
  </si>
  <si>
    <t>牟长友</t>
  </si>
  <si>
    <t>牟长友,王贵明,牟弘利,牟晓霞</t>
  </si>
  <si>
    <t>F674959112191826</t>
  </si>
  <si>
    <t>吴定康</t>
  </si>
  <si>
    <t>杨正芬,吴国玉,吴定康,吴帮全,吴建,吴国容,吴国萍</t>
  </si>
  <si>
    <t>F839595343939771</t>
  </si>
  <si>
    <t>温余堂,温友权,温钧</t>
  </si>
  <si>
    <t>F949982041995629</t>
  </si>
  <si>
    <t>江维金</t>
  </si>
  <si>
    <t>李开玉,江维金</t>
  </si>
  <si>
    <t>F950013550745666</t>
  </si>
  <si>
    <t>温定禄</t>
  </si>
  <si>
    <t>F950014883401788</t>
  </si>
  <si>
    <t>刘作伦</t>
  </si>
  <si>
    <t>刘作伦,刘晓琴</t>
  </si>
  <si>
    <t>F950015725120615</t>
  </si>
  <si>
    <t>刘昌珍</t>
  </si>
  <si>
    <t>F950015731370308</t>
  </si>
  <si>
    <t>杨建林</t>
  </si>
  <si>
    <t>杨才,杨建林</t>
  </si>
  <si>
    <t>F950024757932978</t>
  </si>
  <si>
    <t>江通华</t>
  </si>
  <si>
    <t>赵燕红,覃友珍,江通华,蔡兴富</t>
  </si>
  <si>
    <t>F950026251058079</t>
  </si>
  <si>
    <t>邓刚枢</t>
  </si>
  <si>
    <t>牟凤,邓刚枢</t>
  </si>
  <si>
    <t>F950026841839188</t>
  </si>
  <si>
    <t>邹明珍</t>
  </si>
  <si>
    <t>F950027011995353</t>
  </si>
  <si>
    <t>熊林</t>
  </si>
  <si>
    <t>F950028205745705</t>
  </si>
  <si>
    <t>李金元</t>
  </si>
  <si>
    <t>F950031903558241</t>
  </si>
  <si>
    <t>文江权</t>
  </si>
  <si>
    <t>文永琼,文永秀,文永东,文江权,文永发</t>
  </si>
  <si>
    <t>F950033897932909</t>
  </si>
  <si>
    <t>杨建平</t>
  </si>
  <si>
    <t>F950034399339430</t>
  </si>
  <si>
    <t>黄秀芬</t>
  </si>
  <si>
    <t>F950034869339838</t>
  </si>
  <si>
    <t>杨万青</t>
  </si>
  <si>
    <t>F950034872620787</t>
  </si>
  <si>
    <t>徐仕华</t>
  </si>
  <si>
    <t>徐仕华,杨昌珍,徐奎</t>
  </si>
  <si>
    <t>F950035860433036</t>
  </si>
  <si>
    <t>陈善文</t>
  </si>
  <si>
    <t>吴定英,陈善文,陈晓萍</t>
  </si>
  <si>
    <t>F950036300745947</t>
  </si>
  <si>
    <t>陈贤志</t>
  </si>
  <si>
    <t>F950036470904590</t>
  </si>
  <si>
    <t>杨峰珍</t>
  </si>
  <si>
    <t>F950037952307933</t>
  </si>
  <si>
    <t>余孝权</t>
  </si>
  <si>
    <t>余德友,余孝权</t>
  </si>
  <si>
    <t>F950040170432800</t>
  </si>
  <si>
    <t>江通才</t>
  </si>
  <si>
    <t>江维蓉,江通才,李西秀,江维琴</t>
  </si>
  <si>
    <t>F950040899027237</t>
  </si>
  <si>
    <t>徐开金</t>
  </si>
  <si>
    <t>徐开金,徐应付</t>
  </si>
  <si>
    <t>F950042508557817</t>
  </si>
  <si>
    <t>吴道兵</t>
  </si>
  <si>
    <t>吴道兵,吴均友</t>
  </si>
  <si>
    <t>F950044434026990</t>
  </si>
  <si>
    <t>黄秀平</t>
  </si>
  <si>
    <t>F964303771566347</t>
  </si>
  <si>
    <t>柳吉会</t>
  </si>
  <si>
    <t>F047332289564960</t>
  </si>
  <si>
    <t>茨湾村委会</t>
  </si>
  <si>
    <t>陈代伦</t>
  </si>
  <si>
    <t>陈霞,张贵桃,陈代伦,张勇,张宇帆</t>
  </si>
  <si>
    <t>F059616831737670</t>
  </si>
  <si>
    <t>周大清</t>
  </si>
  <si>
    <t>欧盛琼,周成富,周大清</t>
  </si>
  <si>
    <t>F212684179465721</t>
  </si>
  <si>
    <t>杨显才</t>
  </si>
  <si>
    <t>王建苹,杨玉婷,杨振坤,杨显才</t>
  </si>
  <si>
    <t>F212686951341219</t>
  </si>
  <si>
    <t>周绍寿</t>
  </si>
  <si>
    <t>周大兵,黄显金,周璐,周绍寿</t>
  </si>
  <si>
    <t>F309047039620996</t>
  </si>
  <si>
    <t>黄安根</t>
  </si>
  <si>
    <t>向桂坪,黄安根</t>
  </si>
  <si>
    <t>F309048713060639</t>
  </si>
  <si>
    <t>周显利</t>
  </si>
  <si>
    <t>刘安玉,周显利,周林杨,周子钰</t>
  </si>
  <si>
    <t>F343404121827417</t>
  </si>
  <si>
    <t>周显和</t>
  </si>
  <si>
    <t>何良英,周凡榆,周显和</t>
  </si>
  <si>
    <t>F385074455531724</t>
  </si>
  <si>
    <t>向传华</t>
  </si>
  <si>
    <t>向媚婷,向传洲,向传华,方代兰</t>
  </si>
  <si>
    <t>F498652443044479</t>
  </si>
  <si>
    <t>萧必辉</t>
  </si>
  <si>
    <t>F514691592977978</t>
  </si>
  <si>
    <t>黄定国</t>
  </si>
  <si>
    <t>黄施然,黄定国,黄常宁,黄云川</t>
  </si>
  <si>
    <t>F572392556666746</t>
  </si>
  <si>
    <t>向传相</t>
  </si>
  <si>
    <t>舒从芬,向德月,陆定群,向传相,向海武,向海燕</t>
  </si>
  <si>
    <t>F597494871509556</t>
  </si>
  <si>
    <t>王军</t>
  </si>
  <si>
    <t>杨再珍,王军,王春梅,王超</t>
  </si>
  <si>
    <t>F597498057787005</t>
  </si>
  <si>
    <t>吴新明</t>
  </si>
  <si>
    <t>吴志凯,吴紫涵,吴新明</t>
  </si>
  <si>
    <t>F597503658956706</t>
  </si>
  <si>
    <t>袁孔华</t>
  </si>
  <si>
    <t>袁孔华,李武珍,袁孟林,袁孟春</t>
  </si>
  <si>
    <t>F674868702982641</t>
  </si>
  <si>
    <t>陈万金</t>
  </si>
  <si>
    <t>刘志容,陈汶奎,陈世杰,陈万金</t>
  </si>
  <si>
    <t>F674871370180118</t>
  </si>
  <si>
    <t>刘兴连</t>
  </si>
  <si>
    <t>陈彩艳,刘兴连</t>
  </si>
  <si>
    <t>F674877414554973</t>
  </si>
  <si>
    <t>吴永财</t>
  </si>
  <si>
    <t>吴永财,吴兴红,罗少芬</t>
  </si>
  <si>
    <t>F706338636496834</t>
  </si>
  <si>
    <t>向传阳</t>
  </si>
  <si>
    <t>向传阳,马召莲,熊艳娇</t>
  </si>
  <si>
    <t>F949984300589773</t>
  </si>
  <si>
    <t>朱贵元</t>
  </si>
  <si>
    <t>朱贵元,吕富荣</t>
  </si>
  <si>
    <t>F949988267620982</t>
  </si>
  <si>
    <t>陈长英</t>
  </si>
  <si>
    <t>F950013451995996</t>
  </si>
  <si>
    <t>朱贵银</t>
  </si>
  <si>
    <t>朱贵银,朱晓琴,郑友琼</t>
  </si>
  <si>
    <t>F950014622776594</t>
  </si>
  <si>
    <t>朱贵才</t>
  </si>
  <si>
    <t>F950022544964274</t>
  </si>
  <si>
    <t>萧华宣</t>
  </si>
  <si>
    <t>F950024950589762</t>
  </si>
  <si>
    <t>杨再银</t>
  </si>
  <si>
    <t>杨胜珍,杨再银</t>
  </si>
  <si>
    <t>F950030893870530</t>
  </si>
  <si>
    <t>张久华</t>
  </si>
  <si>
    <t>王大芝,张久华</t>
  </si>
  <si>
    <t>F950033714183095</t>
  </si>
  <si>
    <t>邓仕忠</t>
  </si>
  <si>
    <t>F950036225901587</t>
  </si>
  <si>
    <t>向仲银</t>
  </si>
  <si>
    <t>向高林,向仲银,曹敏</t>
  </si>
  <si>
    <t>F950042821682988</t>
  </si>
  <si>
    <t>向传伦</t>
  </si>
  <si>
    <t>王燕芬,向传伦</t>
  </si>
  <si>
    <t>F969172110838125</t>
  </si>
  <si>
    <t>李武华</t>
  </si>
  <si>
    <t>李武华,邓明仙</t>
  </si>
  <si>
    <t>F047336810191025</t>
  </si>
  <si>
    <t>前光村委会</t>
  </si>
  <si>
    <t>刘桢香</t>
  </si>
  <si>
    <t>龚祝贵,龚悦琪,刘桢香,谭翠苹,祝正程</t>
  </si>
  <si>
    <t>F211852014153350</t>
  </si>
  <si>
    <t>车国俊</t>
  </si>
  <si>
    <t>车国俊,车波,黄祥蓉</t>
  </si>
  <si>
    <t>F253711949312351</t>
  </si>
  <si>
    <t>罗国兵</t>
  </si>
  <si>
    <t>F344852609624733</t>
  </si>
  <si>
    <t>杨世芬</t>
  </si>
  <si>
    <t>舒正阳,杨世芬,舒其高,舒宇豪</t>
  </si>
  <si>
    <t>F344856055875112</t>
  </si>
  <si>
    <t>胡其贵</t>
  </si>
  <si>
    <t>黄桂相,胡克斌,胡其贵</t>
  </si>
  <si>
    <t>F411847145261563</t>
  </si>
  <si>
    <t>刘军</t>
  </si>
  <si>
    <t>F442063218781536</t>
  </si>
  <si>
    <t>舒立阳</t>
  </si>
  <si>
    <t>舒川,杨妙腾,李吉芳,舒立阳,舒崇荣</t>
  </si>
  <si>
    <t>F520244798298494</t>
  </si>
  <si>
    <t>张太秀</t>
  </si>
  <si>
    <t>F520246716404050</t>
  </si>
  <si>
    <t>李世秀</t>
  </si>
  <si>
    <t>吴若茜,李世秀,舒莉洪</t>
  </si>
  <si>
    <t>F520250473435643</t>
  </si>
  <si>
    <t>黄英玉</t>
  </si>
  <si>
    <t>罗楚华,黄英玉,罗艺涵</t>
  </si>
  <si>
    <t>F520256401667719</t>
  </si>
  <si>
    <t>舒力恒</t>
  </si>
  <si>
    <t>F520259574216486</t>
  </si>
  <si>
    <t>王光秀</t>
  </si>
  <si>
    <t>王光秀,龚涵</t>
  </si>
  <si>
    <t>F598647840212800</t>
  </si>
  <si>
    <t>陈光秀</t>
  </si>
  <si>
    <t>陈光秀,罗浩文</t>
  </si>
  <si>
    <t>F728266275297776</t>
  </si>
  <si>
    <t>杨建明</t>
  </si>
  <si>
    <t>F812960968113679</t>
  </si>
  <si>
    <t>伍茂林</t>
  </si>
  <si>
    <t>F884833131815924</t>
  </si>
  <si>
    <t>舒崇玉</t>
  </si>
  <si>
    <t>向树琼,舒崇玉,张军,张芯瑞</t>
  </si>
  <si>
    <t>F932279334439829</t>
  </si>
  <si>
    <t>袁再友</t>
  </si>
  <si>
    <t>袁再友,袁三书</t>
  </si>
  <si>
    <t>F944084829806432</t>
  </si>
  <si>
    <t>钟光珍</t>
  </si>
  <si>
    <t>黄秀光,钟光珍,黄英富</t>
  </si>
  <si>
    <t>F944089699641178</t>
  </si>
  <si>
    <t>舒雨辰,舒其会,王兴秀</t>
  </si>
  <si>
    <t>F950009750902220</t>
  </si>
  <si>
    <t>牟洪兴</t>
  </si>
  <si>
    <t>F950009810120526</t>
  </si>
  <si>
    <t>何建华</t>
  </si>
  <si>
    <t>罗琴,舒秀英,何伟,何建华,何向洋</t>
  </si>
  <si>
    <t>F950013252151902</t>
  </si>
  <si>
    <t>傅文兴</t>
  </si>
  <si>
    <t>F950013404183007</t>
  </si>
  <si>
    <t>舒从康</t>
  </si>
  <si>
    <t>舒林,邓昌莉,舒从康,舒伦,舒洋,舒梓高</t>
  </si>
  <si>
    <t>F950014866839458</t>
  </si>
  <si>
    <t>舒崇平</t>
  </si>
  <si>
    <t>F950015032308049</t>
  </si>
  <si>
    <t>舒其末</t>
  </si>
  <si>
    <t>F950015070276663</t>
  </si>
  <si>
    <t>韦仕奎</t>
  </si>
  <si>
    <t>韦美莲,李先蓉,韦仕奎,韦宏仪</t>
  </si>
  <si>
    <t>F950015439182837</t>
  </si>
  <si>
    <t>吕培珍</t>
  </si>
  <si>
    <t>F950016393871469</t>
  </si>
  <si>
    <t>吴尚友</t>
  </si>
  <si>
    <t>F950018378714377</t>
  </si>
  <si>
    <t>舒崇金</t>
  </si>
  <si>
    <t>黄英秀,舒崇金</t>
  </si>
  <si>
    <t>F950018495277201</t>
  </si>
  <si>
    <t>王中富</t>
  </si>
  <si>
    <t>魏志莲,王中富</t>
  </si>
  <si>
    <t>F950018709651942</t>
  </si>
  <si>
    <t>舒其怀</t>
  </si>
  <si>
    <t>郭岚菲,舒立娥,李天珍,舒其怀,舒历明</t>
  </si>
  <si>
    <t>F950020477776835</t>
  </si>
  <si>
    <t>辜涵均</t>
  </si>
  <si>
    <t>黄祥珍,辜涵均,辜成海,辜成江</t>
  </si>
  <si>
    <t>F950020491058263</t>
  </si>
  <si>
    <t>龙国秀</t>
  </si>
  <si>
    <t>李旭,龙国秀,杨元彬,王洪</t>
  </si>
  <si>
    <t>F950020561058407</t>
  </si>
  <si>
    <t>安成兵</t>
  </si>
  <si>
    <t>安文锋,安成兵,安文涛,吴婵清,安文燕,安建容</t>
  </si>
  <si>
    <t>F950020661526545</t>
  </si>
  <si>
    <t>舒其华</t>
  </si>
  <si>
    <t>舒洋,许顶梅,舒其华,舒雨轩,舒立军,刘世兰</t>
  </si>
  <si>
    <t>F950022394964732</t>
  </si>
  <si>
    <t>舒其森</t>
  </si>
  <si>
    <t>舒其森,舒孟林,舒惠荣,李锦芳,陈世友</t>
  </si>
  <si>
    <t>F950022803089593</t>
  </si>
  <si>
    <t>舒林森</t>
  </si>
  <si>
    <t>王定英,舒林森</t>
  </si>
  <si>
    <t>F950024256058335</t>
  </si>
  <si>
    <t>张开容</t>
  </si>
  <si>
    <t>张开容,周运,刘念洪</t>
  </si>
  <si>
    <t>F950024359652037</t>
  </si>
  <si>
    <t>胡炳珍</t>
  </si>
  <si>
    <t>F950025940120729</t>
  </si>
  <si>
    <t>文龙贵</t>
  </si>
  <si>
    <t>F950026184183187</t>
  </si>
  <si>
    <t>曾传名</t>
  </si>
  <si>
    <t>F950026435901587</t>
  </si>
  <si>
    <t>张成福</t>
  </si>
  <si>
    <t>杨世英,张京栏,张梦桃,张华,刘维香,张成福</t>
  </si>
  <si>
    <t>F950027069339020</t>
  </si>
  <si>
    <t>舒从委</t>
  </si>
  <si>
    <t>舒叶岭,舒秋梅,刘志诚,舒从委,刘玥兮</t>
  </si>
  <si>
    <t>F950027803558354</t>
  </si>
  <si>
    <t>饶其秀</t>
  </si>
  <si>
    <t>饶其秀,胡克林</t>
  </si>
  <si>
    <t>F950028605589395</t>
  </si>
  <si>
    <t>文龙珍</t>
  </si>
  <si>
    <t>F950029077152284</t>
  </si>
  <si>
    <t>舒从明</t>
  </si>
  <si>
    <t>舒从明,童小容,舒湘云,舒童,王祖友</t>
  </si>
  <si>
    <t>F950029831526935</t>
  </si>
  <si>
    <t>舒其先</t>
  </si>
  <si>
    <t>舒其先,王志连</t>
  </si>
  <si>
    <t>F950030317308385</t>
  </si>
  <si>
    <t>胡其均</t>
  </si>
  <si>
    <t>胡其均,饶其珍,胡克红,胡飞</t>
  </si>
  <si>
    <t>F950030513245717</t>
  </si>
  <si>
    <t>何俊铭</t>
  </si>
  <si>
    <t>F950031214183303</t>
  </si>
  <si>
    <t>张贵兰</t>
  </si>
  <si>
    <t>张贵兰,张雨嫣</t>
  </si>
  <si>
    <t>F950031762308283</t>
  </si>
  <si>
    <t>曾文才</t>
  </si>
  <si>
    <t>曾文才,曾传友,梁秀华</t>
  </si>
  <si>
    <t>F950032197151869</t>
  </si>
  <si>
    <t>刘念全</t>
  </si>
  <si>
    <t>曾明香,刘念全,刘海波</t>
  </si>
  <si>
    <t>F950032259495635</t>
  </si>
  <si>
    <t>张兴根</t>
  </si>
  <si>
    <t>F950032360277072</t>
  </si>
  <si>
    <t>卢兴华</t>
  </si>
  <si>
    <t>陈秀珍,卢小容,卢兴华,卢军,卢宇辰</t>
  </si>
  <si>
    <t>F950032516683072</t>
  </si>
  <si>
    <t>孙安富</t>
  </si>
  <si>
    <t>F950032783245473</t>
  </si>
  <si>
    <t>邵洪芬</t>
  </si>
  <si>
    <t>邵洪芬,舒立秀</t>
  </si>
  <si>
    <t>F950033061839482</t>
  </si>
  <si>
    <t>牟洛锋,牟梦婷,何平,王姣</t>
  </si>
  <si>
    <t>F950033956527078</t>
  </si>
  <si>
    <t>王国林</t>
  </si>
  <si>
    <t>陈文秀,王国林,王国强</t>
  </si>
  <si>
    <t>F950033988089089</t>
  </si>
  <si>
    <t>李友珍</t>
  </si>
  <si>
    <t>李友珍,彭中才</t>
  </si>
  <si>
    <t>F950034202620564</t>
  </si>
  <si>
    <t>舒其勇</t>
  </si>
  <si>
    <t>舒立红,舒从位,舒其勇,余利香,舒桧婷</t>
  </si>
  <si>
    <t>F950035165746018</t>
  </si>
  <si>
    <t>刘光枢</t>
  </si>
  <si>
    <t>刘光枢,刘梓鲡</t>
  </si>
  <si>
    <t>F950036237464819</t>
  </si>
  <si>
    <t>王祖华</t>
  </si>
  <si>
    <t>F950036714339744</t>
  </si>
  <si>
    <t>刘桂珍</t>
  </si>
  <si>
    <t>F950036807620375</t>
  </si>
  <si>
    <t>刘维富</t>
  </si>
  <si>
    <t>刘钦权,刘松林,刘维富</t>
  </si>
  <si>
    <t>F950037048870569</t>
  </si>
  <si>
    <t>袁三蓉</t>
  </si>
  <si>
    <t>袁三蓉,余小红</t>
  </si>
  <si>
    <t>F950037739651795</t>
  </si>
  <si>
    <t>刘明宣</t>
  </si>
  <si>
    <t>李梦瑶,舒明珍,刘斌,刘明宣,刘皓康,刘皓健</t>
  </si>
  <si>
    <t>F950039231214436</t>
  </si>
  <si>
    <t>吴洪芝</t>
  </si>
  <si>
    <t>吴洪芝,舒林</t>
  </si>
  <si>
    <t>F950040072932993</t>
  </si>
  <si>
    <t>袁再华</t>
  </si>
  <si>
    <t>袁再华,袁龙,龙国香</t>
  </si>
  <si>
    <t>F950040407933481</t>
  </si>
  <si>
    <t>骆桂珍</t>
  </si>
  <si>
    <t>罗莉,骆桂珍,任嘉琪,罗恒军</t>
  </si>
  <si>
    <t>F950040822776746</t>
  </si>
  <si>
    <t>黄荣</t>
  </si>
  <si>
    <t>黄荣,黄成人,余达莲,黄英强,黄沄希</t>
  </si>
  <si>
    <t>F950040851214500</t>
  </si>
  <si>
    <t>魏兴宣</t>
  </si>
  <si>
    <t>F950040949808442</t>
  </si>
  <si>
    <t>胡其均,徐琪森,胡永红</t>
  </si>
  <si>
    <t>F950042009495439</t>
  </si>
  <si>
    <t>舒建忠</t>
  </si>
  <si>
    <t>舒瑞祥,涂银礼,舒建忠,余明珍</t>
  </si>
  <si>
    <t>F950042463402436</t>
  </si>
  <si>
    <t>刘禹田</t>
  </si>
  <si>
    <t>F950042554026981</t>
  </si>
  <si>
    <t>王安正</t>
  </si>
  <si>
    <t>王宇航,罗先时,王银,王安正</t>
  </si>
  <si>
    <t>F950042965589808</t>
  </si>
  <si>
    <t>刘禹财</t>
  </si>
  <si>
    <t>杨光知,刘禹财</t>
  </si>
  <si>
    <t>F950042975589721</t>
  </si>
  <si>
    <t>刘树容</t>
  </si>
  <si>
    <t>F950043254027277</t>
  </si>
  <si>
    <t>邓国宇</t>
  </si>
  <si>
    <t>F950043926995661</t>
  </si>
  <si>
    <t>黄祯红</t>
  </si>
  <si>
    <t>黄祥兴,张荣,黄祯红,黄晓容</t>
  </si>
  <si>
    <t>F950043964183956</t>
  </si>
  <si>
    <t>何兵</t>
  </si>
  <si>
    <t>F950043971839341</t>
  </si>
  <si>
    <t>周兴刚</t>
  </si>
  <si>
    <t>周兴刚,林桂芝</t>
  </si>
  <si>
    <t>F950044508089308</t>
  </si>
  <si>
    <t>饶忠明</t>
  </si>
  <si>
    <t>饶忠明,饶学琼</t>
  </si>
  <si>
    <t>F950044680120478</t>
  </si>
  <si>
    <t>文兴芝</t>
  </si>
  <si>
    <t>F950044861215488</t>
  </si>
  <si>
    <t>舒崇塔</t>
  </si>
  <si>
    <t>黄祥芝,舒崇塔</t>
  </si>
  <si>
    <t>F995784038401598</t>
  </si>
  <si>
    <t>舒从金</t>
  </si>
  <si>
    <t>黄月英,舒从金</t>
  </si>
  <si>
    <t>F995791067777072</t>
  </si>
  <si>
    <t>舒其高</t>
  </si>
  <si>
    <t>F000011334652083</t>
  </si>
  <si>
    <t>庙坪村委会</t>
  </si>
  <si>
    <t>潘付元</t>
  </si>
  <si>
    <t>潘旭,潘付元,欧明珍,潘华清</t>
  </si>
  <si>
    <t>F015857891121280</t>
  </si>
  <si>
    <t>潘付明</t>
  </si>
  <si>
    <t>F015859947254439</t>
  </si>
  <si>
    <t>杨正康</t>
  </si>
  <si>
    <t>邢连兴,杨通林,梁小红,杨欢,杨正康</t>
  </si>
  <si>
    <t>F049203502184080</t>
  </si>
  <si>
    <t>杨再言</t>
  </si>
  <si>
    <t>杨再言,杨静</t>
  </si>
  <si>
    <t>F266905223298099</t>
  </si>
  <si>
    <t>童明德</t>
  </si>
  <si>
    <t>童明德,童超</t>
  </si>
  <si>
    <t>F393740033756949</t>
  </si>
  <si>
    <t>杨正才</t>
  </si>
  <si>
    <t>杨正才,邹登英</t>
  </si>
  <si>
    <t>F393743747536978</t>
  </si>
  <si>
    <t>杨正权</t>
  </si>
  <si>
    <t>杨正权,彭开秀</t>
  </si>
  <si>
    <t>F442801714441560</t>
  </si>
  <si>
    <t>童自财</t>
  </si>
  <si>
    <t>童霞,陈代秀,童潇,童自财,童小琴,童明方</t>
  </si>
  <si>
    <t>F594214334701331</t>
  </si>
  <si>
    <t>杨万枢</t>
  </si>
  <si>
    <t>杨万枢,觉洛阿巫,杨绿叶,杨绿美</t>
  </si>
  <si>
    <t>F627845325335797</t>
  </si>
  <si>
    <t>杨云</t>
  </si>
  <si>
    <t>孙俊和,杨云</t>
  </si>
  <si>
    <t>F949988264183358</t>
  </si>
  <si>
    <t>杨再多</t>
  </si>
  <si>
    <t>杨再多,杨浩星,魏兴泽,杨文斌,杨昕宇</t>
  </si>
  <si>
    <t>F950009679339320</t>
  </si>
  <si>
    <t>吴代银</t>
  </si>
  <si>
    <t>杨正斌,吴代银,康付枢,吴均</t>
  </si>
  <si>
    <t>F950011621057952</t>
  </si>
  <si>
    <t>熊长林,袁明珍</t>
  </si>
  <si>
    <t>F950012861995878</t>
  </si>
  <si>
    <t>杨勇</t>
  </si>
  <si>
    <t>杨勇,杨明霞,熊永秀</t>
  </si>
  <si>
    <t>F950014444026656</t>
  </si>
  <si>
    <t>骆国春</t>
  </si>
  <si>
    <t>骆国春,段英,骆贵琳,骆镜汁</t>
  </si>
  <si>
    <t>F950014953401568</t>
  </si>
  <si>
    <t>杨进榜</t>
  </si>
  <si>
    <t>杨再全,杨进榜</t>
  </si>
  <si>
    <t>F950015624026923</t>
  </si>
  <si>
    <t>童自明</t>
  </si>
  <si>
    <t>F950020673714368</t>
  </si>
  <si>
    <t>罗可芬</t>
  </si>
  <si>
    <t>童小川,罗可芬</t>
  </si>
  <si>
    <t>F950022480590092</t>
  </si>
  <si>
    <t>魏明珍</t>
  </si>
  <si>
    <t>F950024111839638</t>
  </si>
  <si>
    <t>陈长友</t>
  </si>
  <si>
    <t>陈成,陈长友,余华容</t>
  </si>
  <si>
    <t>F950024147308375</t>
  </si>
  <si>
    <t>杨玉林</t>
  </si>
  <si>
    <t>杨建平,杨玉林,魏兴秀</t>
  </si>
  <si>
    <t>F950024926058266</t>
  </si>
  <si>
    <t>骆北京</t>
  </si>
  <si>
    <t>骆北京,魏志清,骆贵州</t>
  </si>
  <si>
    <t>F950024947308121</t>
  </si>
  <si>
    <t>候洪林</t>
  </si>
  <si>
    <t>候洪林,吴万群</t>
  </si>
  <si>
    <t>F950026023401811</t>
  </si>
  <si>
    <t>骆国军</t>
  </si>
  <si>
    <t>艾昕瑶,邹会先,骆国军,骆贵英</t>
  </si>
  <si>
    <t>F950026086683147</t>
  </si>
  <si>
    <t>陈元青</t>
  </si>
  <si>
    <t>陈元青,骆定相,陈欢</t>
  </si>
  <si>
    <t>F950026805276546</t>
  </si>
  <si>
    <t>杨正涪</t>
  </si>
  <si>
    <t>杨健,胡福容,杨正涪</t>
  </si>
  <si>
    <t>F950027924964538</t>
  </si>
  <si>
    <t>骆定成</t>
  </si>
  <si>
    <t>骆建林,骆梅洗,骆定成,骆建利</t>
  </si>
  <si>
    <t>F950028148245371</t>
  </si>
  <si>
    <t>熊发银</t>
  </si>
  <si>
    <t>熊发银,杨进会</t>
  </si>
  <si>
    <t>F950028296839234</t>
  </si>
  <si>
    <t>魏兴连</t>
  </si>
  <si>
    <t>杨正容,魏兴连</t>
  </si>
  <si>
    <t>F950028409651802</t>
  </si>
  <si>
    <t>李平华</t>
  </si>
  <si>
    <t>F950029219495965</t>
  </si>
  <si>
    <t>童明俊</t>
  </si>
  <si>
    <t>童明俊,吴帮田</t>
  </si>
  <si>
    <t>F950029224808278</t>
  </si>
  <si>
    <t>魏志林</t>
  </si>
  <si>
    <t>F950029894808216</t>
  </si>
  <si>
    <t>杨世和</t>
  </si>
  <si>
    <t>杨世和,杨晴</t>
  </si>
  <si>
    <t>F950030429964370</t>
  </si>
  <si>
    <t>魏志财</t>
  </si>
  <si>
    <t>F950030585432752</t>
  </si>
  <si>
    <t>熊长六</t>
  </si>
  <si>
    <t>熊长六,骆定碎</t>
  </si>
  <si>
    <t>F950030672307912</t>
  </si>
  <si>
    <t>骆培明</t>
  </si>
  <si>
    <t>F950033979339314</t>
  </si>
  <si>
    <t>童自银</t>
  </si>
  <si>
    <t>童彬,童自银,吕红秀</t>
  </si>
  <si>
    <t>F950034017933402</t>
  </si>
  <si>
    <t>童明付</t>
  </si>
  <si>
    <t>童明付,李德秀</t>
  </si>
  <si>
    <t>F950034070277592</t>
  </si>
  <si>
    <t>童明才</t>
  </si>
  <si>
    <t>童明才,童自国,童嘉莉,魏志英,童顺杨</t>
  </si>
  <si>
    <t>F950034120589585</t>
  </si>
  <si>
    <t>魏志秀</t>
  </si>
  <si>
    <t>F950034295902226</t>
  </si>
  <si>
    <t>骆国锋</t>
  </si>
  <si>
    <t>骆春燕,骆泽雄,骆国锋,汪清秀</t>
  </si>
  <si>
    <t>F950034616527143</t>
  </si>
  <si>
    <t>魏进付</t>
  </si>
  <si>
    <t>魏进付,魏登琼,费兴英</t>
  </si>
  <si>
    <t>F950035919183170</t>
  </si>
  <si>
    <t>刘碎珍</t>
  </si>
  <si>
    <t>F950036540746057</t>
  </si>
  <si>
    <t>熊长金</t>
  </si>
  <si>
    <t>F950038027308358</t>
  </si>
  <si>
    <t>张付春</t>
  </si>
  <si>
    <t>熊家乐,李小红,童明碎,张兵,张桃,张付春,张宇浩</t>
  </si>
  <si>
    <t>F950038251370600</t>
  </si>
  <si>
    <t>杨正和</t>
  </si>
  <si>
    <t>杨正和,杨春平,张航源</t>
  </si>
  <si>
    <t>F950038423245830</t>
  </si>
  <si>
    <t>杨再云</t>
  </si>
  <si>
    <t>F950038530589053</t>
  </si>
  <si>
    <t>童明相</t>
  </si>
  <si>
    <t>童明相,骆国伦</t>
  </si>
  <si>
    <t>F950040571995770</t>
  </si>
  <si>
    <t>魏兴友</t>
  </si>
  <si>
    <t>魏兴友,杨银珍</t>
  </si>
  <si>
    <t>F950040925910211</t>
  </si>
  <si>
    <t>程金明</t>
  </si>
  <si>
    <t>F950041063870772</t>
  </si>
  <si>
    <t>童明久</t>
  </si>
  <si>
    <t>魏志英,童明久,童自红,童耀南</t>
  </si>
  <si>
    <t>F950043191058676</t>
  </si>
  <si>
    <t>徐永高</t>
  </si>
  <si>
    <t>F204373084514133</t>
  </si>
  <si>
    <t>石围村委会</t>
  </si>
  <si>
    <t>廖厚千</t>
  </si>
  <si>
    <t>廖思淇,廖厚千,廖坤海</t>
  </si>
  <si>
    <t>F410836789781571</t>
  </si>
  <si>
    <t>杨保权</t>
  </si>
  <si>
    <t>刘作珍,杨保权</t>
  </si>
  <si>
    <t>F461468011341091</t>
  </si>
  <si>
    <t>余图华</t>
  </si>
  <si>
    <t>余才和,余才清,余凤全,余图华,李德均</t>
  </si>
  <si>
    <t>F595359536159988</t>
  </si>
  <si>
    <t>陈光才</t>
  </si>
  <si>
    <t>杨世才,陈光才</t>
  </si>
  <si>
    <t>F599344960223224</t>
  </si>
  <si>
    <t>刘潘海</t>
  </si>
  <si>
    <t>钟守秀,刘延洪,刘延萍,刘潘海</t>
  </si>
  <si>
    <t>F949982404026789</t>
  </si>
  <si>
    <t>杨加友</t>
  </si>
  <si>
    <t>F949990225432947</t>
  </si>
  <si>
    <t>陈维珍</t>
  </si>
  <si>
    <t>汤付奎,汤付琴,陈维珍,汤勇飞</t>
  </si>
  <si>
    <t>F950012839964774</t>
  </si>
  <si>
    <t>潘臣弟</t>
  </si>
  <si>
    <t>吴均枝,潘臣弟</t>
  </si>
  <si>
    <t>F950014452620215</t>
  </si>
  <si>
    <t>廖兴芝</t>
  </si>
  <si>
    <t>F950015295120944</t>
  </si>
  <si>
    <t>陈光虎</t>
  </si>
  <si>
    <t>陈光虎,吕登祥</t>
  </si>
  <si>
    <t>F950016465277095</t>
  </si>
  <si>
    <t>李祖高</t>
  </si>
  <si>
    <t>李祖高,陈绍银</t>
  </si>
  <si>
    <t>F950022439964308</t>
  </si>
  <si>
    <t>柳春香</t>
  </si>
  <si>
    <t>F950026361995837</t>
  </si>
  <si>
    <t>魏志荣</t>
  </si>
  <si>
    <t>魏志荣,魏涛,陈绍保</t>
  </si>
  <si>
    <t>F950028054964773</t>
  </si>
  <si>
    <t>李祖明</t>
  </si>
  <si>
    <t>陈建波,李祖明,陈建平</t>
  </si>
  <si>
    <t>F950028338870763</t>
  </si>
  <si>
    <t>杨代春</t>
  </si>
  <si>
    <t>杨代春,曾华英</t>
  </si>
  <si>
    <t>F950028520120553</t>
  </si>
  <si>
    <t>陈国忠</t>
  </si>
  <si>
    <t>F950031922776919</t>
  </si>
  <si>
    <t>余凤其</t>
  </si>
  <si>
    <t>F950032208558520</t>
  </si>
  <si>
    <t>余德金</t>
  </si>
  <si>
    <t>余德金,柳吉珍,刘加容,余键,余浩瑞</t>
  </si>
  <si>
    <t>F950032284183101</t>
  </si>
  <si>
    <t>曾光明</t>
  </si>
  <si>
    <t>F950032369808029</t>
  </si>
  <si>
    <t>王兴全</t>
  </si>
  <si>
    <t>王兴全,袁天艺,柳贵香</t>
  </si>
  <si>
    <t>F950033780901656</t>
  </si>
  <si>
    <t>刘成美</t>
  </si>
  <si>
    <t>刘成美,廖厚蓉</t>
  </si>
  <si>
    <t>F950034347933271</t>
  </si>
  <si>
    <t>蒙仁祥</t>
  </si>
  <si>
    <t>蒙义伟,蒙仁祥,彭燕,蒙思羽</t>
  </si>
  <si>
    <t>F950034736527149</t>
  </si>
  <si>
    <t>杨在权</t>
  </si>
  <si>
    <t>杨在权,杨钦洪</t>
  </si>
  <si>
    <t>F950035072777014</t>
  </si>
  <si>
    <t>李远珍</t>
  </si>
  <si>
    <t>F950035879339444</t>
  </si>
  <si>
    <t>余强和</t>
  </si>
  <si>
    <t>余凤琴,余强和</t>
  </si>
  <si>
    <t>F950036289026930</t>
  </si>
  <si>
    <t>廖厚举</t>
  </si>
  <si>
    <t>廖厚举,廖结缘,廖秋燕</t>
  </si>
  <si>
    <t>F950036867308610</t>
  </si>
  <si>
    <t>汤付才</t>
  </si>
  <si>
    <t>汤付才,汤辉</t>
  </si>
  <si>
    <t>F950038514182803</t>
  </si>
  <si>
    <t>杨昌芝</t>
  </si>
  <si>
    <t>F950038554496192</t>
  </si>
  <si>
    <t>邹荣珍</t>
  </si>
  <si>
    <t>F950041264183144</t>
  </si>
  <si>
    <t>潘正泽</t>
  </si>
  <si>
    <t>潘成斌,潘正泽</t>
  </si>
  <si>
    <t>F950041909808068</t>
  </si>
  <si>
    <t>刘作林</t>
  </si>
  <si>
    <t>F950042195433110</t>
  </si>
  <si>
    <t>余孝才</t>
  </si>
  <si>
    <t>余德福,余孝才,魏志英,余德和</t>
  </si>
  <si>
    <t>F950044775276748</t>
  </si>
  <si>
    <t>童明枢</t>
  </si>
  <si>
    <t>童明枢,童治银,童瑞</t>
  </si>
  <si>
    <t>F970730208196245</t>
  </si>
  <si>
    <t>王康芝</t>
  </si>
  <si>
    <t>杨秀华,王康芝</t>
  </si>
  <si>
    <t>F235291972732665</t>
  </si>
  <si>
    <t>三溪村委会</t>
  </si>
  <si>
    <t>张子书</t>
  </si>
  <si>
    <t>付德珍,张胜贵,张子书</t>
  </si>
  <si>
    <t>F235294790809093</t>
  </si>
  <si>
    <t>付开云</t>
  </si>
  <si>
    <t>F235296219764109</t>
  </si>
  <si>
    <t>杨财光</t>
  </si>
  <si>
    <t>杨冰林,杨财光</t>
  </si>
  <si>
    <t>F235298331023653</t>
  </si>
  <si>
    <t>张昆林</t>
  </si>
  <si>
    <t>张昆林,张俊徭</t>
  </si>
  <si>
    <t>F418286396842092</t>
  </si>
  <si>
    <t>陈永君</t>
  </si>
  <si>
    <t>F514695238337988</t>
  </si>
  <si>
    <t>吴代荣</t>
  </si>
  <si>
    <t>吴代荣,黄定金,吴兴淋</t>
  </si>
  <si>
    <t>F571030844050510</t>
  </si>
  <si>
    <t>付忠玲</t>
  </si>
  <si>
    <t>卢永杰,吴明珍,付忠玲</t>
  </si>
  <si>
    <t>F627886525960839</t>
  </si>
  <si>
    <t>陆明</t>
  </si>
  <si>
    <t>胡晶,袁茂玲,陆明,陆再兵,陆再奎,陆思妍</t>
  </si>
  <si>
    <t>F728285258646581</t>
  </si>
  <si>
    <t>覃清松</t>
  </si>
  <si>
    <t>覃清松,覃思荣,陈明富</t>
  </si>
  <si>
    <t>F838693907486910</t>
  </si>
  <si>
    <t>张道兵</t>
  </si>
  <si>
    <t>张道兵,向传英,张小龙,覃顺分,张利平</t>
  </si>
  <si>
    <t>F949982131370642</t>
  </si>
  <si>
    <t>王瑶珍</t>
  </si>
  <si>
    <t>F949982273871051</t>
  </si>
  <si>
    <t>陆光富</t>
  </si>
  <si>
    <t>刘明芝,陆光富</t>
  </si>
  <si>
    <t>F949984261214480</t>
  </si>
  <si>
    <t>李昌祥</t>
  </si>
  <si>
    <t>F950011759964234</t>
  </si>
  <si>
    <t>曾国军</t>
  </si>
  <si>
    <t>温艳琼,曾国军,曾建辉,曾仁评</t>
  </si>
  <si>
    <t>F950013221370751</t>
  </si>
  <si>
    <t>王明分</t>
  </si>
  <si>
    <t>F950014540276625</t>
  </si>
  <si>
    <t>李昌仪</t>
  </si>
  <si>
    <t>F950015363714539</t>
  </si>
  <si>
    <t>罗可彬</t>
  </si>
  <si>
    <t>罗可彬,李隆江</t>
  </si>
  <si>
    <t>F950015374964454</t>
  </si>
  <si>
    <t>覃官华</t>
  </si>
  <si>
    <t>F950015661526791</t>
  </si>
  <si>
    <t>金万奎</t>
  </si>
  <si>
    <t>F950016382308348</t>
  </si>
  <si>
    <t>谢成文</t>
  </si>
  <si>
    <t>谢成文,邓国卒</t>
  </si>
  <si>
    <t>F950020421996056</t>
  </si>
  <si>
    <t>张富祥</t>
  </si>
  <si>
    <t>张富祥,张贵方,林凤金</t>
  </si>
  <si>
    <t>F950024350902025</t>
  </si>
  <si>
    <t>陆通珍</t>
  </si>
  <si>
    <t>罗全金,陆通珍</t>
  </si>
  <si>
    <t>F950024448245816</t>
  </si>
  <si>
    <t>林凤明</t>
  </si>
  <si>
    <t>F950024494495289</t>
  </si>
  <si>
    <t>徐大兵</t>
  </si>
  <si>
    <t>徐大兵,杨加琼</t>
  </si>
  <si>
    <t>F950024519495355</t>
  </si>
  <si>
    <t>范才孝</t>
  </si>
  <si>
    <t>吴思芮,范小容,范才孝</t>
  </si>
  <si>
    <t>F950024556995691</t>
  </si>
  <si>
    <t>杨财分</t>
  </si>
  <si>
    <t>杨财分,徐嘉翔</t>
  </si>
  <si>
    <t>F950024620433466</t>
  </si>
  <si>
    <t>李昌地</t>
  </si>
  <si>
    <t>F950026219339281</t>
  </si>
  <si>
    <t>黄秀之</t>
  </si>
  <si>
    <t>F950028071371106</t>
  </si>
  <si>
    <t>郑贵莲</t>
  </si>
  <si>
    <t>范才华,范国轩,温建容,郑贵莲,杨涵</t>
  </si>
  <si>
    <t>F950028793558048</t>
  </si>
  <si>
    <t>范进华</t>
  </si>
  <si>
    <t>F950029846839344</t>
  </si>
  <si>
    <t>黄大恩</t>
  </si>
  <si>
    <t>黄大恩,黄玲英,黄元根,胡其旭</t>
  </si>
  <si>
    <t>F950031864026876</t>
  </si>
  <si>
    <t>周燕</t>
  </si>
  <si>
    <t>F950032569495786</t>
  </si>
  <si>
    <t>熊光明</t>
  </si>
  <si>
    <t>熊光明,熊元国,袁琼英,熊明枢,李兰珍</t>
  </si>
  <si>
    <t>F950033868245824</t>
  </si>
  <si>
    <t>陆远珍</t>
  </si>
  <si>
    <t>F950035032777190</t>
  </si>
  <si>
    <t>吴亮</t>
  </si>
  <si>
    <t>F950036073557863</t>
  </si>
  <si>
    <t>李昌其</t>
  </si>
  <si>
    <t>F950036075745668</t>
  </si>
  <si>
    <t>李献甫</t>
  </si>
  <si>
    <t>F950037723245281</t>
  </si>
  <si>
    <t>胡国明</t>
  </si>
  <si>
    <t>F950038316370985</t>
  </si>
  <si>
    <t>黄元芬</t>
  </si>
  <si>
    <t>F950038386058267</t>
  </si>
  <si>
    <t>徐友珍</t>
  </si>
  <si>
    <t>徐友珍,李燕</t>
  </si>
  <si>
    <t>F950038968714648</t>
  </si>
  <si>
    <t>张道清</t>
  </si>
  <si>
    <t>F950039079495402</t>
  </si>
  <si>
    <t>陈光金</t>
  </si>
  <si>
    <t>陈光金,陈鑫源</t>
  </si>
  <si>
    <t>F950039146215073</t>
  </si>
  <si>
    <t>刘世富</t>
  </si>
  <si>
    <t>刘世富,杨诗钰</t>
  </si>
  <si>
    <t>F950039856839725</t>
  </si>
  <si>
    <t>覃仲万</t>
  </si>
  <si>
    <t>F950040814651743</t>
  </si>
  <si>
    <t>金安平</t>
  </si>
  <si>
    <t>F950041061214414</t>
  </si>
  <si>
    <t>李光珍</t>
  </si>
  <si>
    <t>肖入涵,李光珍</t>
  </si>
  <si>
    <t>F950042398714689</t>
  </si>
  <si>
    <t>牟泽定</t>
  </si>
  <si>
    <t>牟兴伦,牟泽定,周成分</t>
  </si>
  <si>
    <t>F950042867620415</t>
  </si>
  <si>
    <t>陆远银</t>
  </si>
  <si>
    <t>李学珍,陆远银</t>
  </si>
  <si>
    <t>F950044000745515</t>
  </si>
  <si>
    <t>王友珍</t>
  </si>
  <si>
    <t>F971582280169350</t>
  </si>
  <si>
    <t>罗绍红</t>
  </si>
  <si>
    <t>F014106079430753</t>
  </si>
  <si>
    <t>黄龙村委会</t>
  </si>
  <si>
    <t>李强</t>
  </si>
  <si>
    <t>袁小莉,李万方,李强,李冰洋</t>
  </si>
  <si>
    <t>F215318338685225</t>
  </si>
  <si>
    <t>温友军</t>
  </si>
  <si>
    <t>温余春,聂世芝,温余东,温葭峻,温友军</t>
  </si>
  <si>
    <t>F235954214135549</t>
  </si>
  <si>
    <t>罗玉清</t>
  </si>
  <si>
    <t>F344812880874441</t>
  </si>
  <si>
    <t>舒其明</t>
  </si>
  <si>
    <t>舒浩,舒其明,舒小洋,侯丽琴</t>
  </si>
  <si>
    <t>F533426209024781</t>
  </si>
  <si>
    <t>罗树尧</t>
  </si>
  <si>
    <t>罗树尧,罗楚丽</t>
  </si>
  <si>
    <t>F571062089304496</t>
  </si>
  <si>
    <t>李晓平</t>
  </si>
  <si>
    <t>李泽珍,李晓平</t>
  </si>
  <si>
    <t>F596733294798674</t>
  </si>
  <si>
    <t>樊长坤</t>
  </si>
  <si>
    <t>樊长模,樊长坤</t>
  </si>
  <si>
    <t>F862914776475217</t>
  </si>
  <si>
    <t>张成</t>
  </si>
  <si>
    <t>张誉铭,张成,樊长红,彭继红,张俊杰</t>
  </si>
  <si>
    <t>F949982478870927</t>
  </si>
  <si>
    <t>张开均</t>
  </si>
  <si>
    <t>张雅晴,张艺钦,张开均</t>
  </si>
  <si>
    <t>F949984405588972</t>
  </si>
  <si>
    <t>杨忠秀</t>
  </si>
  <si>
    <t>F950011448865192</t>
  </si>
  <si>
    <t>张开友</t>
  </si>
  <si>
    <t>袁公秀,张开友,张光明,张庆,张光华</t>
  </si>
  <si>
    <t>F950014734807987</t>
  </si>
  <si>
    <t>廖世银</t>
  </si>
  <si>
    <t>廖世银,廖小红,廖绍元,廖文林</t>
  </si>
  <si>
    <t>F950020305902054</t>
  </si>
  <si>
    <t>黄祯元</t>
  </si>
  <si>
    <t>黄祯元,黄祥武</t>
  </si>
  <si>
    <t>F950022413401800</t>
  </si>
  <si>
    <t>廖乐春</t>
  </si>
  <si>
    <t>廖乐春,廖敏,张云</t>
  </si>
  <si>
    <t>F950024682307850</t>
  </si>
  <si>
    <t>陈明虎</t>
  </si>
  <si>
    <t>陈冬,陈明虎,陈清仁,李世秀</t>
  </si>
  <si>
    <t>F950024772151823</t>
  </si>
  <si>
    <t>郭培珍</t>
  </si>
  <si>
    <t>F950026092151787</t>
  </si>
  <si>
    <t>陈六奎</t>
  </si>
  <si>
    <t>陈六奎,陈妙菡</t>
  </si>
  <si>
    <t>F950028250589067</t>
  </si>
  <si>
    <t>蔡学凤</t>
  </si>
  <si>
    <t>F950030885432929</t>
  </si>
  <si>
    <t>彭明光</t>
  </si>
  <si>
    <t>彭德财,彭明光,邓学兰,彭欢</t>
  </si>
  <si>
    <t>F950030936370833</t>
  </si>
  <si>
    <t>文云秀</t>
  </si>
  <si>
    <t>F950030942152617</t>
  </si>
  <si>
    <t>闫帮富</t>
  </si>
  <si>
    <t>闫鹏,闫帮富,任珍容,闫林梅</t>
  </si>
  <si>
    <t>F950031777466463</t>
  </si>
  <si>
    <t>黄祥亮</t>
  </si>
  <si>
    <t>F950031822933023</t>
  </si>
  <si>
    <t>李徐兵</t>
  </si>
  <si>
    <t>F950032663870734</t>
  </si>
  <si>
    <t>巫良清</t>
  </si>
  <si>
    <t>F950033811683132</t>
  </si>
  <si>
    <t>彭明学</t>
  </si>
  <si>
    <t>F950034702308187</t>
  </si>
  <si>
    <t>郭道清</t>
  </si>
  <si>
    <t>F950035194651746</t>
  </si>
  <si>
    <t>樊长月</t>
  </si>
  <si>
    <t>F950036297933959</t>
  </si>
  <si>
    <t>祝宗贵</t>
  </si>
  <si>
    <t>F950036370433335</t>
  </si>
  <si>
    <t>舒治珍</t>
  </si>
  <si>
    <t>F950038191996050</t>
  </si>
  <si>
    <t>陈文孝</t>
  </si>
  <si>
    <t>F950040090276682</t>
  </si>
  <si>
    <t>樊长兴</t>
  </si>
  <si>
    <t>F950040794339708</t>
  </si>
  <si>
    <t>明文友</t>
  </si>
  <si>
    <t>F950043172308445</t>
  </si>
  <si>
    <t>朱代银</t>
  </si>
  <si>
    <t>F950043966214275</t>
  </si>
  <si>
    <t>郭培英</t>
  </si>
  <si>
    <t>李清贤,郭培英</t>
  </si>
  <si>
    <t>F950044320120597</t>
  </si>
  <si>
    <t>李泽玲</t>
  </si>
  <si>
    <t>李泽玲,樊进松</t>
  </si>
  <si>
    <t>F260163553721820</t>
  </si>
  <si>
    <t>龙桥村委会</t>
  </si>
  <si>
    <t>郭念友</t>
  </si>
  <si>
    <t>郭井银,郭念友,郭炜琦</t>
  </si>
  <si>
    <t>F776634022446927</t>
  </si>
  <si>
    <t>蔡大军</t>
  </si>
  <si>
    <t>蔡大军,龙孝芬,蔡吉淋,周玲,李凡</t>
  </si>
  <si>
    <t>F950027789964049</t>
  </si>
  <si>
    <t>茨梨村委会</t>
  </si>
  <si>
    <t>魏志清</t>
  </si>
  <si>
    <t>魏志清,饶忠兰,魏进双</t>
  </si>
  <si>
    <t>F032788453087750</t>
  </si>
  <si>
    <t>松林村委会</t>
  </si>
  <si>
    <t>何国友</t>
  </si>
  <si>
    <t>熊世维,何国友</t>
  </si>
  <si>
    <t>F253754599722444</t>
  </si>
  <si>
    <t>胡伟锋</t>
  </si>
  <si>
    <t>邓仕林,胡伟锋</t>
  </si>
  <si>
    <t>F255858953416259</t>
  </si>
  <si>
    <t>张登利</t>
  </si>
  <si>
    <t>张登利,杨泽珍</t>
  </si>
  <si>
    <t>F255865685378825</t>
  </si>
  <si>
    <t>胡其春</t>
  </si>
  <si>
    <t>胡蕊,胡俊鹏,胡全海,胡其春</t>
  </si>
  <si>
    <t>F255873928678970</t>
  </si>
  <si>
    <t>周显平</t>
  </si>
  <si>
    <t>F363032542411045</t>
  </si>
  <si>
    <t>夏太芬</t>
  </si>
  <si>
    <t>夏太芬,魏登桥,魏佳翔</t>
  </si>
  <si>
    <t>F590073412038709</t>
  </si>
  <si>
    <t>陈善务</t>
  </si>
  <si>
    <t>陈善务,周媛</t>
  </si>
  <si>
    <t>F759559073563649</t>
  </si>
  <si>
    <t>周成海</t>
  </si>
  <si>
    <t>F838687173268112</t>
  </si>
  <si>
    <t>黎有珍</t>
  </si>
  <si>
    <t>F863531539027014</t>
  </si>
  <si>
    <t>王显容</t>
  </si>
  <si>
    <t>王显容,陈荟羽,李先琼,陈秋名</t>
  </si>
  <si>
    <t>F863542458040304</t>
  </si>
  <si>
    <t>廖龙金</t>
  </si>
  <si>
    <t>罩才路,廖龙金</t>
  </si>
  <si>
    <t>F950014857620734</t>
  </si>
  <si>
    <t>杨正友</t>
  </si>
  <si>
    <t>杨杰,何彦群,杨正友</t>
  </si>
  <si>
    <t>F950022434964157</t>
  </si>
  <si>
    <t>廖忠元</t>
  </si>
  <si>
    <t>F950022594807850</t>
  </si>
  <si>
    <t>邹文富</t>
  </si>
  <si>
    <t>高蓉,邹文富</t>
  </si>
  <si>
    <t>F950024176058181</t>
  </si>
  <si>
    <t>王晓芹</t>
  </si>
  <si>
    <t>张志翠,王伦沪,王晓芹,王松</t>
  </si>
  <si>
    <t>F950024990276815</t>
  </si>
  <si>
    <t>宋代均</t>
  </si>
  <si>
    <t>宋代均,宋秋燕</t>
  </si>
  <si>
    <t>F950026129339563</t>
  </si>
  <si>
    <t>童光珍</t>
  </si>
  <si>
    <t>涂太芬,童光珍,刘涛</t>
  </si>
  <si>
    <t>F950026405901823</t>
  </si>
  <si>
    <t>周大富</t>
  </si>
  <si>
    <t>林春成,周大富</t>
  </si>
  <si>
    <t>F950026689652903</t>
  </si>
  <si>
    <t>杨保贵</t>
  </si>
  <si>
    <t>夏家珍,谭晓燕,杨子娴,杨保贵</t>
  </si>
  <si>
    <t>F950028183089326</t>
  </si>
  <si>
    <t>杨昌珍</t>
  </si>
  <si>
    <t>F950028406682791</t>
  </si>
  <si>
    <t>陈才兴</t>
  </si>
  <si>
    <t>周富容,陈子根,陈铭阳,陈才兴</t>
  </si>
  <si>
    <t>F950030382777303</t>
  </si>
  <si>
    <t>胡自香</t>
  </si>
  <si>
    <t>胡自香,王应兵,王登元</t>
  </si>
  <si>
    <t>F950031952307876</t>
  </si>
  <si>
    <t>刘文才</t>
  </si>
  <si>
    <t>刘文才,刘思梦,刘桂文</t>
  </si>
  <si>
    <t>F950033132776895</t>
  </si>
  <si>
    <t>王兵</t>
  </si>
  <si>
    <t>黎延平,王杰,王绿森,王兵</t>
  </si>
  <si>
    <t>F950037958089813</t>
  </si>
  <si>
    <t>倪位光</t>
  </si>
  <si>
    <t>倪昔容,倪位光,林齐芬</t>
  </si>
  <si>
    <t>F950039751527258</t>
  </si>
  <si>
    <t>廖善勋</t>
  </si>
  <si>
    <t>陈笑,廖善勋</t>
  </si>
  <si>
    <t>F950040582152230</t>
  </si>
  <si>
    <t>林正宣</t>
  </si>
  <si>
    <t>F950042307933291</t>
  </si>
  <si>
    <t>廖乐钦</t>
  </si>
  <si>
    <t>F950044474026876</t>
  </si>
  <si>
    <t>陈奎</t>
  </si>
  <si>
    <t>F950044723870433</t>
  </si>
  <si>
    <t>涂太平</t>
  </si>
  <si>
    <t>涂太平,涂浩义</t>
  </si>
  <si>
    <t>F950044893558660</t>
  </si>
  <si>
    <t>吴大平</t>
  </si>
  <si>
    <t>F047322712255505</t>
  </si>
  <si>
    <t>白果村委会</t>
  </si>
  <si>
    <t>刘成军</t>
  </si>
  <si>
    <t>刘洁,刘轩豪,刘成军,向群</t>
  </si>
  <si>
    <t>F047326948897069</t>
  </si>
  <si>
    <t>张再科</t>
  </si>
  <si>
    <t>张天财,罗兴吉,张天蓉,张天乙,张再科,张天月</t>
  </si>
  <si>
    <t>F051882220464967</t>
  </si>
  <si>
    <t>张大田</t>
  </si>
  <si>
    <t>张大田,王燕苹</t>
  </si>
  <si>
    <t>F122387168951586</t>
  </si>
  <si>
    <t>李开银</t>
  </si>
  <si>
    <t>刘昌玉,李开银,李金雄</t>
  </si>
  <si>
    <t>F124971571561188</t>
  </si>
  <si>
    <t>罗国友</t>
  </si>
  <si>
    <t>罗国友,罗敏</t>
  </si>
  <si>
    <t>F212646577122191</t>
  </si>
  <si>
    <t>魏余疆,余国庆,魏进华,魏登余</t>
  </si>
  <si>
    <t>F236087855853895</t>
  </si>
  <si>
    <t>魏登秀</t>
  </si>
  <si>
    <t>F255876806472377</t>
  </si>
  <si>
    <t>张大元</t>
  </si>
  <si>
    <t>张大元,张雪,易嘉欣</t>
  </si>
  <si>
    <t>F279469562292141</t>
  </si>
  <si>
    <t>黄仁方</t>
  </si>
  <si>
    <t>杨正容,黄谊平,黄仁方</t>
  </si>
  <si>
    <t>F279474266200826</t>
  </si>
  <si>
    <t>邹开元</t>
  </si>
  <si>
    <t>唐成秀,邹开元</t>
  </si>
  <si>
    <t>F333963369041039</t>
  </si>
  <si>
    <t>李佳秀</t>
  </si>
  <si>
    <t>F653102442869231</t>
  </si>
  <si>
    <t>吴定枢</t>
  </si>
  <si>
    <t>吴焱橿,刘兴珍,吴国方,吴定枢</t>
  </si>
  <si>
    <t>F805717042616216</t>
  </si>
  <si>
    <t>黄毓海</t>
  </si>
  <si>
    <t>黄毓海,黄飞</t>
  </si>
  <si>
    <t>F918038104055612</t>
  </si>
  <si>
    <t>罗安华</t>
  </si>
  <si>
    <t>F949985986526915</t>
  </si>
  <si>
    <t>魏志贵</t>
  </si>
  <si>
    <t>魏进堂,魏志贵,魏进学</t>
  </si>
  <si>
    <t>F949990011370868</t>
  </si>
  <si>
    <t>刘本秀</t>
  </si>
  <si>
    <t>杨盛均,刘本秀</t>
  </si>
  <si>
    <t>F950013521527053</t>
  </si>
  <si>
    <t>余德友</t>
  </si>
  <si>
    <t>余德友,唐均,唐红英,唐清福</t>
  </si>
  <si>
    <t>F950014394027141</t>
  </si>
  <si>
    <t>曾兴福</t>
  </si>
  <si>
    <t>曾仕军,李春容,曾顺友,曾仕兵,曾顺利,曾仕红,曾兴福,李开秀,曾仕苹</t>
  </si>
  <si>
    <t>F950014804026868</t>
  </si>
  <si>
    <t>袁天衡</t>
  </si>
  <si>
    <t>袁天衡,王晓艳,王祖题,王晓蓉</t>
  </si>
  <si>
    <t>F950015515745716</t>
  </si>
  <si>
    <t>胡全智</t>
  </si>
  <si>
    <t>胡全智,胡其兴,陈秀华,胡琳琳</t>
  </si>
  <si>
    <t>F950015601058634</t>
  </si>
  <si>
    <t>魏志芬</t>
  </si>
  <si>
    <t>陈润珍,魏志芬</t>
  </si>
  <si>
    <t>F950022347308184</t>
  </si>
  <si>
    <t>肖银春</t>
  </si>
  <si>
    <t>张盛连,肖秋东,肖银春</t>
  </si>
  <si>
    <t>F950024740432889</t>
  </si>
  <si>
    <t>李开德</t>
  </si>
  <si>
    <t>李开德,温建平,李茂铧</t>
  </si>
  <si>
    <t>F950025233245498</t>
  </si>
  <si>
    <t>颜金容</t>
  </si>
  <si>
    <t>曾裕汶,曾富强,颜金容,曾吉铜</t>
  </si>
  <si>
    <t>F950027827933072</t>
  </si>
  <si>
    <t>夏治强</t>
  </si>
  <si>
    <t>夏治强,夏东波</t>
  </si>
  <si>
    <t>F950032046057916</t>
  </si>
  <si>
    <t>黄祥琼</t>
  </si>
  <si>
    <t>黄祥琼,米福云</t>
  </si>
  <si>
    <t>F950032863870433</t>
  </si>
  <si>
    <t>龙安珍</t>
  </si>
  <si>
    <t>王文萍,龙安珍</t>
  </si>
  <si>
    <t>F950033122621180</t>
  </si>
  <si>
    <t>魏志恒</t>
  </si>
  <si>
    <t>王修燕,魏志恒</t>
  </si>
  <si>
    <t>F950033774964190</t>
  </si>
  <si>
    <t>王登祥</t>
  </si>
  <si>
    <t>王登祥,王应均,杨明珍,王柯淋</t>
  </si>
  <si>
    <t>F950034684495487</t>
  </si>
  <si>
    <t>王燕华</t>
  </si>
  <si>
    <t>王成开,王燕华</t>
  </si>
  <si>
    <t>F950036094339146</t>
  </si>
  <si>
    <t>杨进安</t>
  </si>
  <si>
    <t>张茗轩,覃海芳,杨进安,杨再芝</t>
  </si>
  <si>
    <t>F950038726526691</t>
  </si>
  <si>
    <t>余孝林</t>
  </si>
  <si>
    <t>余皓杰,余孝林,余米平,余可杨,余逸轩</t>
  </si>
  <si>
    <t>F950039133714120</t>
  </si>
  <si>
    <t>李成书</t>
  </si>
  <si>
    <t>李成书,覃才珍</t>
  </si>
  <si>
    <t>F950039872464761</t>
  </si>
  <si>
    <t>刘世明</t>
  </si>
  <si>
    <t>蒋志会,刘世明,刘玲</t>
  </si>
  <si>
    <t>F950039880589836</t>
  </si>
  <si>
    <t>黎仕贵,李登芬,黎秋杉,吴万珍,黎树珍</t>
  </si>
  <si>
    <t>F950040025120569</t>
  </si>
  <si>
    <t>周贵才</t>
  </si>
  <si>
    <t>龙德容,吴岳峰,周贵才</t>
  </si>
  <si>
    <t>F950041030745707</t>
  </si>
  <si>
    <t>邹泽相</t>
  </si>
  <si>
    <t>邹泽相,邹强,邹俊皓,郭洪勤,邹雨馨</t>
  </si>
  <si>
    <t>F950042132307938</t>
  </si>
  <si>
    <t>陈应芝</t>
  </si>
  <si>
    <t>F950042255433340</t>
  </si>
  <si>
    <t>彭明全</t>
  </si>
  <si>
    <t>彭明全,饶兴明,彭开富,彭茂轩,彭云泓</t>
  </si>
  <si>
    <t>F950042699183297</t>
  </si>
  <si>
    <t>张世云</t>
  </si>
  <si>
    <t>张世云,杨再富</t>
  </si>
  <si>
    <t>F950043271683216</t>
  </si>
  <si>
    <t>覃才珍</t>
  </si>
  <si>
    <t>吴福银,覃才珍,吴荟</t>
  </si>
  <si>
    <t>F964306807818244</t>
  </si>
  <si>
    <t>唐毅</t>
  </si>
  <si>
    <t>唐毅,唐志佳,骆元珍,唐芯平,唐芯叶</t>
  </si>
  <si>
    <t>F990503077825245</t>
  </si>
  <si>
    <t>蒋贵福</t>
  </si>
  <si>
    <t>蒋贵福,蒋世田</t>
  </si>
  <si>
    <t>F003735274183404</t>
  </si>
  <si>
    <t>永福镇</t>
  </si>
  <si>
    <t>新桥村委会</t>
  </si>
  <si>
    <t>胡自田</t>
  </si>
  <si>
    <t>胡自田,陈正银,胡安容,胡安东</t>
  </si>
  <si>
    <t>F025130891179988</t>
  </si>
  <si>
    <t>郑天均</t>
  </si>
  <si>
    <t>郑天均,郑辰鹏,郑羽馨,张南秀</t>
  </si>
  <si>
    <t>F035269958496905</t>
  </si>
  <si>
    <t>李万香</t>
  </si>
  <si>
    <t>廖仕超,李万香,杨飞</t>
  </si>
  <si>
    <t>F040277768304485</t>
  </si>
  <si>
    <t>杨云伟</t>
  </si>
  <si>
    <t>杨国露,杨云伟,杨孟霖,阿车马马,杨孟东</t>
  </si>
  <si>
    <t>F156862336814258</t>
  </si>
  <si>
    <t>向祥明</t>
  </si>
  <si>
    <t>向祥明,欧林英</t>
  </si>
  <si>
    <t>F234339535417820</t>
  </si>
  <si>
    <t>杨进元</t>
  </si>
  <si>
    <t>F234342745965010</t>
  </si>
  <si>
    <t>段方文</t>
  </si>
  <si>
    <t>段红冰,段金海,张明珍,段方文,段红泉,段金蓉</t>
  </si>
  <si>
    <t>F234355321278475</t>
  </si>
  <si>
    <t>何万勇</t>
  </si>
  <si>
    <t>何彦培,何万勇</t>
  </si>
  <si>
    <t>F236316569302998</t>
  </si>
  <si>
    <t>曾仕钢</t>
  </si>
  <si>
    <t>唐清平,曾仕钢</t>
  </si>
  <si>
    <t>F364307889003774</t>
  </si>
  <si>
    <t>周仕权</t>
  </si>
  <si>
    <t>F684695950369442</t>
  </si>
  <si>
    <t>何万富</t>
  </si>
  <si>
    <t>何洪宇,何万富</t>
  </si>
  <si>
    <t>F717279329385939</t>
  </si>
  <si>
    <t>胡自荣</t>
  </si>
  <si>
    <t>陈明容,胡自荣,胡安文,胡梦洁,胡家宇</t>
  </si>
  <si>
    <t>F805940272855807</t>
  </si>
  <si>
    <t>杨文华</t>
  </si>
  <si>
    <t>杨兵,聂旺霞,杨显锟,杨文华,余图芳,杨显琼</t>
  </si>
  <si>
    <t>F812616828169321</t>
  </si>
  <si>
    <t>何其保</t>
  </si>
  <si>
    <t>何彦禄,何其保,陈善英</t>
  </si>
  <si>
    <t>F949986004028340</t>
  </si>
  <si>
    <t>周开云</t>
  </si>
  <si>
    <t>周开云,周旭均</t>
  </si>
  <si>
    <t>F950011709339576</t>
  </si>
  <si>
    <t>张登财</t>
  </si>
  <si>
    <t>张登财,周国香,张鹏</t>
  </si>
  <si>
    <t>F950015227308264</t>
  </si>
  <si>
    <t>刘光明</t>
  </si>
  <si>
    <t>张潇,刘光明</t>
  </si>
  <si>
    <t>F950018451526755</t>
  </si>
  <si>
    <t>周士荷</t>
  </si>
  <si>
    <t>周士荷,周国定</t>
  </si>
  <si>
    <t>F950018588245532</t>
  </si>
  <si>
    <t>李显清</t>
  </si>
  <si>
    <t>李显清,李欢,李鑫</t>
  </si>
  <si>
    <t>F950022389339406</t>
  </si>
  <si>
    <t>代富荣</t>
  </si>
  <si>
    <t>代富荣,代禄斌,代钰琪</t>
  </si>
  <si>
    <t>F950022634651502</t>
  </si>
  <si>
    <t>廖廷明</t>
  </si>
  <si>
    <t>廖廷明,廖朝清</t>
  </si>
  <si>
    <t>F950022764652091</t>
  </si>
  <si>
    <t>李开秀</t>
  </si>
  <si>
    <t>F950026161058460</t>
  </si>
  <si>
    <t>胡万斌</t>
  </si>
  <si>
    <t>岑元琼,胡万斌</t>
  </si>
  <si>
    <t>F950026885432805</t>
  </si>
  <si>
    <t>周吉元</t>
  </si>
  <si>
    <t>F950027821839025</t>
  </si>
  <si>
    <t>曾进贵</t>
  </si>
  <si>
    <t>F950028005745686</t>
  </si>
  <si>
    <t>杨国顺</t>
  </si>
  <si>
    <t>杨国立,杨国宏,杨国顺</t>
  </si>
  <si>
    <t>F950028680745946</t>
  </si>
  <si>
    <t>林代珍</t>
  </si>
  <si>
    <t>F950029811214312</t>
  </si>
  <si>
    <t>费正均</t>
  </si>
  <si>
    <t>费正均,费燕,曾仕友,费阳</t>
  </si>
  <si>
    <t>F950029953089626</t>
  </si>
  <si>
    <t>段流和</t>
  </si>
  <si>
    <t>F950030424495763</t>
  </si>
  <si>
    <t>段流章</t>
  </si>
  <si>
    <t>段流章,段流才</t>
  </si>
  <si>
    <t>F950030978089739</t>
  </si>
  <si>
    <t>陈永根</t>
  </si>
  <si>
    <t>陈勇,陈滔,陈永根</t>
  </si>
  <si>
    <t>F950031796526864</t>
  </si>
  <si>
    <t>廖廷均</t>
  </si>
  <si>
    <t>F950033108870567</t>
  </si>
  <si>
    <t>邹登财</t>
  </si>
  <si>
    <t>F950033198089106</t>
  </si>
  <si>
    <t>曾进文</t>
  </si>
  <si>
    <t>F950034821370645</t>
  </si>
  <si>
    <t>胡尚佑</t>
  </si>
  <si>
    <t>陈云芝,胡尚佑</t>
  </si>
  <si>
    <t>F950034859026941</t>
  </si>
  <si>
    <t>黎云方</t>
  </si>
  <si>
    <t>黎云方,黎廷均</t>
  </si>
  <si>
    <t>F950038790745521</t>
  </si>
  <si>
    <t>曾自平</t>
  </si>
  <si>
    <t>曾自平,杨廷秀,罗兴贵</t>
  </si>
  <si>
    <t>F950038833089309</t>
  </si>
  <si>
    <t>欧光付</t>
  </si>
  <si>
    <t>F950038989183651</t>
  </si>
  <si>
    <t>杨绍龙</t>
  </si>
  <si>
    <t>F950039139965191</t>
  </si>
  <si>
    <t>段流方</t>
  </si>
  <si>
    <t>F950040427464545</t>
  </si>
  <si>
    <t>曾仕兴</t>
  </si>
  <si>
    <t>F950040707933124</t>
  </si>
  <si>
    <t>刘兴祝</t>
  </si>
  <si>
    <t>曾雨婷,曾自强,刘兴祝,邱美</t>
  </si>
  <si>
    <t>F950040826214746</t>
  </si>
  <si>
    <t>曾进友</t>
  </si>
  <si>
    <t>F950044087308002</t>
  </si>
  <si>
    <t>杨进华,杨雯</t>
  </si>
  <si>
    <t>F005290061214840</t>
  </si>
  <si>
    <t>双河村委会</t>
  </si>
  <si>
    <t>廖辰熙</t>
  </si>
  <si>
    <t>廖朝熊,廖辰熙,廖诗涵</t>
  </si>
  <si>
    <t>F075418393206656</t>
  </si>
  <si>
    <t>高要明</t>
  </si>
  <si>
    <t>F174530893683485</t>
  </si>
  <si>
    <t>龚再付</t>
  </si>
  <si>
    <t>龚再付,王盛明,王勇</t>
  </si>
  <si>
    <t>F215180575559903</t>
  </si>
  <si>
    <t>周应兰</t>
  </si>
  <si>
    <t>F268127092936379</t>
  </si>
  <si>
    <t>胡克均</t>
  </si>
  <si>
    <t>胡进豪,胡克均</t>
  </si>
  <si>
    <t>F512298083052857</t>
  </si>
  <si>
    <t>杨正春</t>
  </si>
  <si>
    <t>F631097828304591</t>
  </si>
  <si>
    <t>胡胜兵</t>
  </si>
  <si>
    <t>胡语桐,孙红秀,胡胜兵,胡燕,马光英</t>
  </si>
  <si>
    <t>F631117069242056</t>
  </si>
  <si>
    <t>朱万芬</t>
  </si>
  <si>
    <t>F731820175189839</t>
  </si>
  <si>
    <t>龙太均</t>
  </si>
  <si>
    <t>龙太均,倪小容,龙雨鑫,龙雨株</t>
  </si>
  <si>
    <t>F735749012279001</t>
  </si>
  <si>
    <t>陈付洲</t>
  </si>
  <si>
    <t>韦左英,陈敏,陈从红,陈付洲</t>
  </si>
  <si>
    <t>F758932834764492</t>
  </si>
  <si>
    <t>邹品智,邹泽文,罗时琼</t>
  </si>
  <si>
    <t>F842264349905763</t>
  </si>
  <si>
    <t>熊朝荣</t>
  </si>
  <si>
    <t>熊朝荣,廖庭秀,熊英,熊冬吉,段雨金汐</t>
  </si>
  <si>
    <t>F905024644104422</t>
  </si>
  <si>
    <t>黄宪春</t>
  </si>
  <si>
    <t>黄宪春,曾进南,黄小煊</t>
  </si>
  <si>
    <t>F949982230120922</t>
  </si>
  <si>
    <t>王登明</t>
  </si>
  <si>
    <t>王登明,邹武先,王应兵</t>
  </si>
  <si>
    <t>F949982310433372</t>
  </si>
  <si>
    <t>陈绍江</t>
  </si>
  <si>
    <t>李自右,陈绍江,杨先礼</t>
  </si>
  <si>
    <t>F949984210432777</t>
  </si>
  <si>
    <t>刘光华</t>
  </si>
  <si>
    <t>F949984431370498</t>
  </si>
  <si>
    <t>段流芳</t>
  </si>
  <si>
    <t>段流芳,王淑全</t>
  </si>
  <si>
    <t>F949986039339548</t>
  </si>
  <si>
    <t>吴加连</t>
  </si>
  <si>
    <t>吴和金,吴杰容,吴加连,吴杰洪</t>
  </si>
  <si>
    <t>F949989917464280</t>
  </si>
  <si>
    <t>何万才</t>
  </si>
  <si>
    <t>何彦正,何万才,杨绍珍,何宇翔</t>
  </si>
  <si>
    <t>F950011787151944</t>
  </si>
  <si>
    <t>宋宗普</t>
  </si>
  <si>
    <t>F950013340902020</t>
  </si>
  <si>
    <t>周泽明</t>
  </si>
  <si>
    <t>周泽明,吴加军,吴加能</t>
  </si>
  <si>
    <t>F950013698090278</t>
  </si>
  <si>
    <t>罗明凤</t>
  </si>
  <si>
    <t>龙太熊,龙永江,罗明凤</t>
  </si>
  <si>
    <t>F950013730433266</t>
  </si>
  <si>
    <t>赵纯彩</t>
  </si>
  <si>
    <t>F950016798245698</t>
  </si>
  <si>
    <t>张付银</t>
  </si>
  <si>
    <t>F950018616526806</t>
  </si>
  <si>
    <t>王应军</t>
  </si>
  <si>
    <t>王应军,夏贵珍</t>
  </si>
  <si>
    <t>F950020721995857</t>
  </si>
  <si>
    <t>龙志和</t>
  </si>
  <si>
    <t>龙志和,陈付从,龙美全</t>
  </si>
  <si>
    <t>F950024630589478</t>
  </si>
  <si>
    <t>聂付贵</t>
  </si>
  <si>
    <t>F950024761527153</t>
  </si>
  <si>
    <t>何万平</t>
  </si>
  <si>
    <t>邹朝虎,何万平</t>
  </si>
  <si>
    <t>F950026304183309</t>
  </si>
  <si>
    <t>魏先玉</t>
  </si>
  <si>
    <t>F950026698089596</t>
  </si>
  <si>
    <t>敖纯益</t>
  </si>
  <si>
    <t>F950028509339078</t>
  </si>
  <si>
    <t>胡世明</t>
  </si>
  <si>
    <t>刘俊熊,刘建成,童明珍,胡世明,刘建业</t>
  </si>
  <si>
    <t>F950028867151866</t>
  </si>
  <si>
    <t>王秀容</t>
  </si>
  <si>
    <t>何玉慧,何佳励,王秀容,李世友</t>
  </si>
  <si>
    <t>F950029151058268</t>
  </si>
  <si>
    <t>傅远贵</t>
  </si>
  <si>
    <t>F950030837620707</t>
  </si>
  <si>
    <t>余图江</t>
  </si>
  <si>
    <t>余昊辰,余国军,余图江,余科毅,邹登平,余国权,余诗涵</t>
  </si>
  <si>
    <t>F950031189495612</t>
  </si>
  <si>
    <t>杨佰珍</t>
  </si>
  <si>
    <t>杨佰珍,李国军</t>
  </si>
  <si>
    <t>F950032456996299</t>
  </si>
  <si>
    <t>王庆明</t>
  </si>
  <si>
    <t>魏登云,王梅严,王庆明,王贵超,王慧</t>
  </si>
  <si>
    <t>F950032541995245</t>
  </si>
  <si>
    <t>罗文宣</t>
  </si>
  <si>
    <t>罗文宣,胡世均,罗世林</t>
  </si>
  <si>
    <t>F950033082464503</t>
  </si>
  <si>
    <t>傅远琼</t>
  </si>
  <si>
    <t>F950033130433270</t>
  </si>
  <si>
    <t>陈从友</t>
  </si>
  <si>
    <t>陈星秀,张登珍,陈从友</t>
  </si>
  <si>
    <t>F950034669339600</t>
  </si>
  <si>
    <t>陈善琼</t>
  </si>
  <si>
    <t>魏仕雨,魏琳,魏晓芹,魏登明,何雪梅,魏国付,陈善琼,魏登蓉</t>
  </si>
  <si>
    <t>F950035020433273</t>
  </si>
  <si>
    <t>李华银</t>
  </si>
  <si>
    <t>袁代均,李华银</t>
  </si>
  <si>
    <t>F950035118089706</t>
  </si>
  <si>
    <t>兰明春</t>
  </si>
  <si>
    <t>兰明春,兰宏,兰吉,柳连芝,兰鹏</t>
  </si>
  <si>
    <t>F950035754495583</t>
  </si>
  <si>
    <t>杨进蓉</t>
  </si>
  <si>
    <t>F950035811683696</t>
  </si>
  <si>
    <t>李吉华</t>
  </si>
  <si>
    <t>F950036361995838</t>
  </si>
  <si>
    <t>张春香</t>
  </si>
  <si>
    <t>杨兵,张春香,杨思杰</t>
  </si>
  <si>
    <t>F950038248089300</t>
  </si>
  <si>
    <t>雷兴甫</t>
  </si>
  <si>
    <t>F950038309027632</t>
  </si>
  <si>
    <t>魏志盆</t>
  </si>
  <si>
    <t>F950038646370535</t>
  </si>
  <si>
    <t>赵得军</t>
  </si>
  <si>
    <t>杨加岁,赵得军,赵鸿志,程宗友,赵朝银</t>
  </si>
  <si>
    <t>F950039894027049</t>
  </si>
  <si>
    <t>吕登和</t>
  </si>
  <si>
    <t>F950039986839705</t>
  </si>
  <si>
    <t>张远兴</t>
  </si>
  <si>
    <t>张再琴,张崇森,刘英,张远兴</t>
  </si>
  <si>
    <t>F950041251214519</t>
  </si>
  <si>
    <t>龙太金</t>
  </si>
  <si>
    <t>F950044228557956</t>
  </si>
  <si>
    <t>杨洪珍</t>
  </si>
  <si>
    <t>F950044534026729</t>
  </si>
  <si>
    <t>罗文钜</t>
  </si>
  <si>
    <t>罗明显,罗文钜</t>
  </si>
  <si>
    <t>F054412557068179</t>
  </si>
  <si>
    <t>万寿村委会</t>
  </si>
  <si>
    <t>袁玉金</t>
  </si>
  <si>
    <t>袁玉金,周伦英,袁程信</t>
  </si>
  <si>
    <t>F117664147044572</t>
  </si>
  <si>
    <t>林代银</t>
  </si>
  <si>
    <t>林代银,林雨洁</t>
  </si>
  <si>
    <t>F173211017247505</t>
  </si>
  <si>
    <t>马玉宸</t>
  </si>
  <si>
    <t>F215143602903369</t>
  </si>
  <si>
    <t>朱小林</t>
  </si>
  <si>
    <t>程瀚鋾,程佳慧,朱小林</t>
  </si>
  <si>
    <t>F253732757282189</t>
  </si>
  <si>
    <t>杨代友</t>
  </si>
  <si>
    <t>杨熙乐,杨代友</t>
  </si>
  <si>
    <t>F253741047051539</t>
  </si>
  <si>
    <t>马兆明</t>
  </si>
  <si>
    <t>F367826203751899</t>
  </si>
  <si>
    <t>车立秀</t>
  </si>
  <si>
    <t>F400385428951553</t>
  </si>
  <si>
    <t>柳建国</t>
  </si>
  <si>
    <t>柳建国,柳吉奎,曹立富,柳馨予,柳宇航,胡春华</t>
  </si>
  <si>
    <t>F516776214255657</t>
  </si>
  <si>
    <t>兰绍兵</t>
  </si>
  <si>
    <t>兰绍兵,兰涪虹,兰欢,张明华,兰焱,伍朝芝</t>
  </si>
  <si>
    <t>F681296589564275</t>
  </si>
  <si>
    <t>王家茂</t>
  </si>
  <si>
    <t>F758928102263045</t>
  </si>
  <si>
    <t>曾仕兵</t>
  </si>
  <si>
    <t>代福平,曾自莉,曾仕兵,曾自伟,曾雅琳</t>
  </si>
  <si>
    <t>F888019955048260</t>
  </si>
  <si>
    <t>吕培熊</t>
  </si>
  <si>
    <t>吕培熊,吕凌锋</t>
  </si>
  <si>
    <t>F891588745049739</t>
  </si>
  <si>
    <t>林永文</t>
  </si>
  <si>
    <t>袁孔朝,林永文</t>
  </si>
  <si>
    <t>F949982083089592</t>
  </si>
  <si>
    <t>吴加孝</t>
  </si>
  <si>
    <t>吴加孝,吴建荣</t>
  </si>
  <si>
    <t>F949982136683124</t>
  </si>
  <si>
    <t>孙国军</t>
  </si>
  <si>
    <t>孙国军,孙敏,孙意鸿</t>
  </si>
  <si>
    <t>F950011782776923</t>
  </si>
  <si>
    <t>邓国珍</t>
  </si>
  <si>
    <t>F950013230902259</t>
  </si>
  <si>
    <t>陈兴秀</t>
  </si>
  <si>
    <t>F950014326370691</t>
  </si>
  <si>
    <t>陈克珍</t>
  </si>
  <si>
    <t>F950014470433075</t>
  </si>
  <si>
    <t>马光福</t>
  </si>
  <si>
    <t>F950024353870475</t>
  </si>
  <si>
    <t>杨兴柱</t>
  </si>
  <si>
    <t>周应珍,杨兴柱</t>
  </si>
  <si>
    <t>F950025035276879</t>
  </si>
  <si>
    <t>曹语航</t>
  </si>
  <si>
    <t>曹聪,曹语航,曹舒婷</t>
  </si>
  <si>
    <t>F950026098402045</t>
  </si>
  <si>
    <t>郑先银</t>
  </si>
  <si>
    <t>郑靖莎,郑先银</t>
  </si>
  <si>
    <t>F950026948558451</t>
  </si>
  <si>
    <t>吴和芝</t>
  </si>
  <si>
    <t>F950028640277272</t>
  </si>
  <si>
    <t>吴家良</t>
  </si>
  <si>
    <t>F950029773245617</t>
  </si>
  <si>
    <t>兰文玉</t>
  </si>
  <si>
    <t>刘春燕,兰文玉,刘芯</t>
  </si>
  <si>
    <t>F950029948402135</t>
  </si>
  <si>
    <t>魏兴金</t>
  </si>
  <si>
    <t>刘传香,何炆杰,何文凤,何成全,魏兴金</t>
  </si>
  <si>
    <t>F950030916839749</t>
  </si>
  <si>
    <t>廖福珍</t>
  </si>
  <si>
    <t>廖福珍,代陆兴,代福斌</t>
  </si>
  <si>
    <t>F950031895276818</t>
  </si>
  <si>
    <t>林有光</t>
  </si>
  <si>
    <t>陈浩宇,陈小燕,陈聪,林有光,陈仕明,陈英</t>
  </si>
  <si>
    <t>F950031968871132</t>
  </si>
  <si>
    <t>马兆国</t>
  </si>
  <si>
    <t>马桥根,马钰智,颜明均,马前春,马兆国,龚再平,马锌锐,李林</t>
  </si>
  <si>
    <t>F950035773401780</t>
  </si>
  <si>
    <t>陈维伦</t>
  </si>
  <si>
    <t>陈维伦,陈键,杨荣容</t>
  </si>
  <si>
    <t>F950036407308096</t>
  </si>
  <si>
    <t>聂交伦</t>
  </si>
  <si>
    <t>邹品全,聂交伦,邹正</t>
  </si>
  <si>
    <t>F950036507776792</t>
  </si>
  <si>
    <t>吴和俊</t>
  </si>
  <si>
    <t>吴和俊,吴丽佳</t>
  </si>
  <si>
    <t>F950038160120303</t>
  </si>
  <si>
    <t>曹志云</t>
  </si>
  <si>
    <t>曹翔,曹桂林,曹雪平,曹志云</t>
  </si>
  <si>
    <t>F950040532776983</t>
  </si>
  <si>
    <t>刘祖珍</t>
  </si>
  <si>
    <t>F950041077933088</t>
  </si>
  <si>
    <t>杨加清</t>
  </si>
  <si>
    <t>F950042620276870</t>
  </si>
  <si>
    <t>郑贵书</t>
  </si>
  <si>
    <t>郑贵书,邹泽兰</t>
  </si>
  <si>
    <t>F950043090745823</t>
  </si>
  <si>
    <t>张远洲</t>
  </si>
  <si>
    <t>张远洲,唐龙兴,张再岑</t>
  </si>
  <si>
    <t>F950044497933352</t>
  </si>
  <si>
    <t>吕培均</t>
  </si>
  <si>
    <t>吕金泽,黄利群,吕锡航,吕培均,吕欣怡</t>
  </si>
  <si>
    <t>F950044711995470</t>
  </si>
  <si>
    <t>邹泽均</t>
  </si>
  <si>
    <t>李恩才,邹梓涵,陈翠,邹泽均,邹品强,邹钰汐,邹坪</t>
  </si>
  <si>
    <t>F975081801648534</t>
  </si>
  <si>
    <t>代福明</t>
  </si>
  <si>
    <t>李云连,代福明</t>
  </si>
  <si>
    <t>F980030198606514</t>
  </si>
  <si>
    <t>龚再兵</t>
  </si>
  <si>
    <t>马银珍,龚再兵</t>
  </si>
  <si>
    <t>F980042518391646</t>
  </si>
  <si>
    <t>侯成礼</t>
  </si>
  <si>
    <t>曾仕林,侯成礼</t>
  </si>
  <si>
    <t>F980045858958346</t>
  </si>
  <si>
    <t>林承彬</t>
  </si>
  <si>
    <t>林翊,林瑞,林文强,林承彬,柳吉才,林文亮</t>
  </si>
  <si>
    <t>F980057172024761</t>
  </si>
  <si>
    <t>兰伟明</t>
  </si>
  <si>
    <t>兰应光,兰宇轩,兰伟明,周仕芬,杨加平,兰元媛</t>
  </si>
  <si>
    <t>F980063605520914</t>
  </si>
  <si>
    <t>罗盛利</t>
  </si>
  <si>
    <t>罗盛利,罗文静,兰庚连,罗梦桐</t>
  </si>
  <si>
    <t>F980067714153405</t>
  </si>
  <si>
    <t>兰金全</t>
  </si>
  <si>
    <t>兰金全,兰林</t>
  </si>
  <si>
    <t>F980072695784352</t>
  </si>
  <si>
    <t>杨云珍</t>
  </si>
  <si>
    <t>F980075486272570</t>
  </si>
  <si>
    <t>兰洲文</t>
  </si>
  <si>
    <t>F980081040120282</t>
  </si>
  <si>
    <t>曹会云</t>
  </si>
  <si>
    <t>曹会云,廖付琼</t>
  </si>
  <si>
    <t>F980085988704379</t>
  </si>
  <si>
    <t>代华英</t>
  </si>
  <si>
    <t>F980088438411202</t>
  </si>
  <si>
    <t>吴和俊,吴宗林,王富芳</t>
  </si>
  <si>
    <t>F980093213919063</t>
  </si>
  <si>
    <t>袁玉坤</t>
  </si>
  <si>
    <t>胡祖英,袁诗魏,袁玉坤</t>
  </si>
  <si>
    <t>F980099960139873</t>
  </si>
  <si>
    <t>马兆军</t>
  </si>
  <si>
    <t>马兆军,赵品云,周文珍</t>
  </si>
  <si>
    <t>F997444510362813</t>
  </si>
  <si>
    <t>孙先贵</t>
  </si>
  <si>
    <t>F022559807747078</t>
  </si>
  <si>
    <t>油房村委会</t>
  </si>
  <si>
    <t>马章</t>
  </si>
  <si>
    <t>马杰斌,张大才,龚洪芳,马章,马永祥,梁宣怡</t>
  </si>
  <si>
    <t>F146105892467648</t>
  </si>
  <si>
    <t>袁孔祥</t>
  </si>
  <si>
    <t>袁孔祥,袁乙鑫</t>
  </si>
  <si>
    <t>F215133557746858</t>
  </si>
  <si>
    <t>陈苏华</t>
  </si>
  <si>
    <t>吴良珍,陈定容,陈苏华</t>
  </si>
  <si>
    <t>F234377804558650</t>
  </si>
  <si>
    <t>王修金</t>
  </si>
  <si>
    <t>王修金,王治平</t>
  </si>
  <si>
    <t>F234379499909847</t>
  </si>
  <si>
    <t>杨兴洲</t>
  </si>
  <si>
    <t>杨旭奎,马吉平,杨卫军,杨兴洲</t>
  </si>
  <si>
    <t>F293894269447142</t>
  </si>
  <si>
    <t>龚再久</t>
  </si>
  <si>
    <t>龚再久,袁齐,袁公金</t>
  </si>
  <si>
    <t>F496625476928003</t>
  </si>
  <si>
    <t>杨建华</t>
  </si>
  <si>
    <t>杨建华,杨凤琴,伍朝胜,杨先宏</t>
  </si>
  <si>
    <t>F549579413289005</t>
  </si>
  <si>
    <t>龚兴堂</t>
  </si>
  <si>
    <t>龚兴堂,李先翠,杨国珍,龚玲</t>
  </si>
  <si>
    <t>F554338266326949</t>
  </si>
  <si>
    <t>杨维东</t>
  </si>
  <si>
    <t>F591788670700886</t>
  </si>
  <si>
    <t>杨佑伦</t>
  </si>
  <si>
    <t>杨佑伦,罗明丁</t>
  </si>
  <si>
    <t>F756385581991916</t>
  </si>
  <si>
    <t>王志贵</t>
  </si>
  <si>
    <t>王志贵,敖纯珍</t>
  </si>
  <si>
    <t>F793112146822415</t>
  </si>
  <si>
    <t>袁孟平</t>
  </si>
  <si>
    <t>李锡珍,袁莉强,袁梓程,袁孟平</t>
  </si>
  <si>
    <t>F812948380639777</t>
  </si>
  <si>
    <t>陈仕华</t>
  </si>
  <si>
    <t>陈仕华,龚再清</t>
  </si>
  <si>
    <t>F934077880557205</t>
  </si>
  <si>
    <t>周应容</t>
  </si>
  <si>
    <t>柳孟秋,杨顺麟,杨佑轩,周应容,杨先友,杨加玉</t>
  </si>
  <si>
    <t>F949982028246188</t>
  </si>
  <si>
    <t>陈方才</t>
  </si>
  <si>
    <t>F949982276370463</t>
  </si>
  <si>
    <t>吴俊书</t>
  </si>
  <si>
    <t>罗明秀,吴仕明,吴俊书</t>
  </si>
  <si>
    <t>F949982281214465</t>
  </si>
  <si>
    <t>陈楚友</t>
  </si>
  <si>
    <t>陈楚友,杨代全,杨杰</t>
  </si>
  <si>
    <t>F949984485432814</t>
  </si>
  <si>
    <t>杨明才</t>
  </si>
  <si>
    <t>陈克珍,杨明才,沈德明</t>
  </si>
  <si>
    <t>F950011468715017</t>
  </si>
  <si>
    <t>杨书义</t>
  </si>
  <si>
    <t>田远英,杨秀林,杨书义,杨立志</t>
  </si>
  <si>
    <t>F950011475746012</t>
  </si>
  <si>
    <t>黄祥珍</t>
  </si>
  <si>
    <t>黄祥珍,魏先高,魏国财</t>
  </si>
  <si>
    <t>F950013395745316</t>
  </si>
  <si>
    <t>龚洪均</t>
  </si>
  <si>
    <t>龚洪均,龚林,龚晟</t>
  </si>
  <si>
    <t>F950013429964843</t>
  </si>
  <si>
    <t>龚再明</t>
  </si>
  <si>
    <t>张再明,龚再明</t>
  </si>
  <si>
    <t>F950013779651879</t>
  </si>
  <si>
    <t>龚再友</t>
  </si>
  <si>
    <t>谭鸿,陈再付,龚宏容,谭稀月,谭显远,谭贵文,龚再友</t>
  </si>
  <si>
    <t>F950014515276922</t>
  </si>
  <si>
    <t>袁代斌</t>
  </si>
  <si>
    <t>魏先前,袁代斌</t>
  </si>
  <si>
    <t>F950015152777071</t>
  </si>
  <si>
    <t>龚再金</t>
  </si>
  <si>
    <t>龚再金,罗应芝,龚越,龚思维</t>
  </si>
  <si>
    <t>F950015156058417</t>
  </si>
  <si>
    <t>陈定权</t>
  </si>
  <si>
    <t>黄祥珍,陈定权,陈雅婷,陈怀春,陈沿钢,赵学秀</t>
  </si>
  <si>
    <t>F950015714026935</t>
  </si>
  <si>
    <t>陈维富</t>
  </si>
  <si>
    <t>陈维富,陈金文</t>
  </si>
  <si>
    <t>F950016422464060</t>
  </si>
  <si>
    <t>杨先贵</t>
  </si>
  <si>
    <t>杨先贵,李云珍,杨佑斌</t>
  </si>
  <si>
    <t>F950018431214469</t>
  </si>
  <si>
    <t>罗文富</t>
  </si>
  <si>
    <t>杨加容,罗明强,罗文富</t>
  </si>
  <si>
    <t>F950020628714155</t>
  </si>
  <si>
    <t>龚洪贵</t>
  </si>
  <si>
    <t>龚玉婷,龚洪贵,龚睿杭,龚睿彬,杨佐琼,龚茹欣,李绿云</t>
  </si>
  <si>
    <t>F950024548401814</t>
  </si>
  <si>
    <t>杨先明</t>
  </si>
  <si>
    <t>杨先明,魏自香</t>
  </si>
  <si>
    <t>F950024804182936</t>
  </si>
  <si>
    <t>傅远兵</t>
  </si>
  <si>
    <t>傅小强,付贵,傅小丽,傅远兵</t>
  </si>
  <si>
    <t>F950024970120812</t>
  </si>
  <si>
    <t>傅远彭</t>
  </si>
  <si>
    <t>傅远彭,傅兰新</t>
  </si>
  <si>
    <t>F950026307464505</t>
  </si>
  <si>
    <t>万应富</t>
  </si>
  <si>
    <t>魏志珍,万应富</t>
  </si>
  <si>
    <t>F950026391370364</t>
  </si>
  <si>
    <t>刘志元</t>
  </si>
  <si>
    <t>刘志元,刘修东,黄祥平,文洪玉,刘志书,刘雷,刘文椿</t>
  </si>
  <si>
    <t>F950027143401554</t>
  </si>
  <si>
    <t>晏宗清</t>
  </si>
  <si>
    <t>杨志兵,杨晓峰,晏宗清,杨义伦,邓利萍,杨诗雨</t>
  </si>
  <si>
    <t>F950027240276482</t>
  </si>
  <si>
    <t>陈希明</t>
  </si>
  <si>
    <t>陈希明,田万珍</t>
  </si>
  <si>
    <t>F950027848245689</t>
  </si>
  <si>
    <t>杨先莲</t>
  </si>
  <si>
    <t>袁梦吟,杨先莲,魏志彭,袁梦婷,杨家正</t>
  </si>
  <si>
    <t>F950028290589261</t>
  </si>
  <si>
    <t>袁公江</t>
  </si>
  <si>
    <t>袁公江,袁雪梅,张礼珍,袁义军,袁俊棋</t>
  </si>
  <si>
    <t>F950028849027306</t>
  </si>
  <si>
    <t>何万香</t>
  </si>
  <si>
    <t>何万香,杨先禄</t>
  </si>
  <si>
    <t>F950028929495578</t>
  </si>
  <si>
    <t>韦佐珍</t>
  </si>
  <si>
    <t>韦佐珍,吴和明,吴加奎</t>
  </si>
  <si>
    <t>F950030401839802</t>
  </si>
  <si>
    <t>杨万平</t>
  </si>
  <si>
    <t>杨万平,伍明能</t>
  </si>
  <si>
    <t>F950031974964275</t>
  </si>
  <si>
    <t>杨代武</t>
  </si>
  <si>
    <t>杨永秀,舒春龙,杨代武,张正莲</t>
  </si>
  <si>
    <t>F950032971683660</t>
  </si>
  <si>
    <t>杨盛林</t>
  </si>
  <si>
    <t>罗心容,杨盛林</t>
  </si>
  <si>
    <t>F950034518089375</t>
  </si>
  <si>
    <t>刘朝珍</t>
  </si>
  <si>
    <t>刘朝珍,杨家均</t>
  </si>
  <si>
    <t>F950034882151897</t>
  </si>
  <si>
    <t>杨先东</t>
  </si>
  <si>
    <t>杨小林,杨先东</t>
  </si>
  <si>
    <t>F950035789184010</t>
  </si>
  <si>
    <t>曾仕银</t>
  </si>
  <si>
    <t>曾仕银,杨立润,胡廷有,杨婷婷</t>
  </si>
  <si>
    <t>F950036484964483</t>
  </si>
  <si>
    <t>杨先华</t>
  </si>
  <si>
    <t>敖翠珍,杨先华,杨鸿淋,杨易蓉</t>
  </si>
  <si>
    <t>F950038153714251</t>
  </si>
  <si>
    <t>陈怀彬</t>
  </si>
  <si>
    <t>张陈一阳,陈定学,陈怀彬,吴家满</t>
  </si>
  <si>
    <t>F950038172464569</t>
  </si>
  <si>
    <t>龚攀权</t>
  </si>
  <si>
    <t>F950040591057865</t>
  </si>
  <si>
    <t>龚明建</t>
  </si>
  <si>
    <t>龚明建,杨云财</t>
  </si>
  <si>
    <t>F950040732620893</t>
  </si>
  <si>
    <t>陈国金</t>
  </si>
  <si>
    <t>杨先洪,陈国金</t>
  </si>
  <si>
    <t>F950041108402043</t>
  </si>
  <si>
    <t>陈明万</t>
  </si>
  <si>
    <t>罗明兰,陈明万,陈洪清</t>
  </si>
  <si>
    <t>F950042492152438</t>
  </si>
  <si>
    <t>郑先友</t>
  </si>
  <si>
    <t>郑先友,陈仕民,陈治霖</t>
  </si>
  <si>
    <t>F950042576527372</t>
  </si>
  <si>
    <t>龚载成</t>
  </si>
  <si>
    <t>F950044439339719</t>
  </si>
  <si>
    <t>吴和照</t>
  </si>
  <si>
    <t>吴和照,唐会林,吴思钰</t>
  </si>
  <si>
    <t>F950044480276875</t>
  </si>
  <si>
    <t>吕建波</t>
  </si>
  <si>
    <t>杨启凤,吕泳钢,吕建波,吕富申</t>
  </si>
  <si>
    <t>F950044610901836</t>
  </si>
  <si>
    <t>袁孔云</t>
  </si>
  <si>
    <t>F950044739808154</t>
  </si>
  <si>
    <t>陈楚文</t>
  </si>
  <si>
    <t>陈楚文,陈启琼,杨金川</t>
  </si>
  <si>
    <t>F005272128246307</t>
  </si>
  <si>
    <t>新华村委会</t>
  </si>
  <si>
    <t>沈才均</t>
  </si>
  <si>
    <t>沈才均,罗明富,沈能炜</t>
  </si>
  <si>
    <t>F005277690121202</t>
  </si>
  <si>
    <t>杨明珍</t>
  </si>
  <si>
    <t>F005282216058731</t>
  </si>
  <si>
    <t>赵修贵</t>
  </si>
  <si>
    <t>F005285988402377</t>
  </si>
  <si>
    <t>吴家贵</t>
  </si>
  <si>
    <t>吴家贵,李太清</t>
  </si>
  <si>
    <t>F234305687371680</t>
  </si>
  <si>
    <t>袁富马</t>
  </si>
  <si>
    <t>袁代军,袁富马,柳莲琼,袁诚杰,杨俊华</t>
  </si>
  <si>
    <t>F234310818622171</t>
  </si>
  <si>
    <t>向祥云</t>
  </si>
  <si>
    <t>李先琼,向双月,向思颖,向祥云,向奎,向双雨</t>
  </si>
  <si>
    <t>F253756516881808</t>
  </si>
  <si>
    <t>吴和海</t>
  </si>
  <si>
    <t>廖厚胡,田莉,吴和海,田裕,吴杰清,吴纪霖</t>
  </si>
  <si>
    <t>F631124449398336</t>
  </si>
  <si>
    <t>伍兴才</t>
  </si>
  <si>
    <t>F631132251117099</t>
  </si>
  <si>
    <t>罗原鹏</t>
  </si>
  <si>
    <t>罗兴亮,孙雅意,罗原鹏</t>
  </si>
  <si>
    <t>F949982071214595</t>
  </si>
  <si>
    <t>袁代和</t>
  </si>
  <si>
    <t>袁禄雄,袁召宽,袁代和,邓国才</t>
  </si>
  <si>
    <t>F950011361527427</t>
  </si>
  <si>
    <t>敖盛才</t>
  </si>
  <si>
    <t>敖盛才,敖杨阳,敖晓花</t>
  </si>
  <si>
    <t>F950013145745429</t>
  </si>
  <si>
    <t>吴和芝,唐清明,敖良久,唐清福</t>
  </si>
  <si>
    <t>F950015046057904</t>
  </si>
  <si>
    <t>刘朝林</t>
  </si>
  <si>
    <t>刘朝轩,刘朝林</t>
  </si>
  <si>
    <t>F950015681527373</t>
  </si>
  <si>
    <t>敖良先</t>
  </si>
  <si>
    <t>F950016459027240</t>
  </si>
  <si>
    <t>周应才</t>
  </si>
  <si>
    <t>F950020711839089</t>
  </si>
  <si>
    <t>邓仕英,敖良和</t>
  </si>
  <si>
    <t>F950024326058141</t>
  </si>
  <si>
    <t>罗苹</t>
  </si>
  <si>
    <t>罗苹,袁林,袁杰,袁冰雨</t>
  </si>
  <si>
    <t>F950024983558164</t>
  </si>
  <si>
    <t>龙万泽</t>
  </si>
  <si>
    <t>向乾勋,龙志鹏,龙万泽</t>
  </si>
  <si>
    <t>F950027836683308</t>
  </si>
  <si>
    <t>陈约林</t>
  </si>
  <si>
    <t>刘凤英,陈约林,陈法平</t>
  </si>
  <si>
    <t>F950028069183146</t>
  </si>
  <si>
    <t>敖盛建</t>
  </si>
  <si>
    <t>F950028094651541</t>
  </si>
  <si>
    <t>敖纯礼</t>
  </si>
  <si>
    <t>雷玉容,敖富荣,敖纯礼,敖涵钰,敖杨松,尹昌艮,敖晓玲</t>
  </si>
  <si>
    <t>F950028343870664</t>
  </si>
  <si>
    <t>李先奎</t>
  </si>
  <si>
    <t>李德刚,李泽凤,刘宗琼,李文章,朗婷,李先奎,李芯怡</t>
  </si>
  <si>
    <t>F950028876839616</t>
  </si>
  <si>
    <t>黄郁兰</t>
  </si>
  <si>
    <t>黄郁兰,罗榆棋,罗鸿友,罗应鲜,杨义奎,廖平珍</t>
  </si>
  <si>
    <t>F950030457151564</t>
  </si>
  <si>
    <t>李先后</t>
  </si>
  <si>
    <t>李泽燕,李先后,敖良和</t>
  </si>
  <si>
    <t>F950030856839499</t>
  </si>
  <si>
    <t>罗红卫</t>
  </si>
  <si>
    <t>罗小龙,罗红卫</t>
  </si>
  <si>
    <t>F950030871058232</t>
  </si>
  <si>
    <t>陈美金</t>
  </si>
  <si>
    <t>吕锡英,陈美金,陈华,祝鑫晨</t>
  </si>
  <si>
    <t>F950031116683071</t>
  </si>
  <si>
    <t>杨通明</t>
  </si>
  <si>
    <t>杨通明,李昌珍</t>
  </si>
  <si>
    <t>F950031845433152</t>
  </si>
  <si>
    <t>敖纯金</t>
  </si>
  <si>
    <t>敖纯金,张连珍</t>
  </si>
  <si>
    <t>F950032802464409</t>
  </si>
  <si>
    <t>刘朝兴</t>
  </si>
  <si>
    <t>刘朝兴,白昌友</t>
  </si>
  <si>
    <t>F950034333401763</t>
  </si>
  <si>
    <t>敖纯权</t>
  </si>
  <si>
    <t>F950034530277354</t>
  </si>
  <si>
    <t>袁富根</t>
  </si>
  <si>
    <t>袁富根,王国珍</t>
  </si>
  <si>
    <t>F950034807776831</t>
  </si>
  <si>
    <t>罗明玖</t>
  </si>
  <si>
    <t>罗忠杰,罗应林,罗明玖,陈树容</t>
  </si>
  <si>
    <t>F950035869026796</t>
  </si>
  <si>
    <t>罗明亮</t>
  </si>
  <si>
    <t>罗茂林,罗胜,罗明亮,陈绍英</t>
  </si>
  <si>
    <t>F950036234182824</t>
  </si>
  <si>
    <t>敖纯奎</t>
  </si>
  <si>
    <t>敖纯奎,敖纯艮</t>
  </si>
  <si>
    <t>F950038679964720</t>
  </si>
  <si>
    <t>曾进举</t>
  </si>
  <si>
    <t>曾进举,曾仕亮,王秀琼</t>
  </si>
  <si>
    <t>F950041126527067</t>
  </si>
  <si>
    <t>罗明锋</t>
  </si>
  <si>
    <t>罗明锋,罗永权,曹礼容</t>
  </si>
  <si>
    <t>F950042077308190</t>
  </si>
  <si>
    <t>吴家友</t>
  </si>
  <si>
    <t>吴家友,吴超</t>
  </si>
  <si>
    <t>F950042339808328</t>
  </si>
  <si>
    <t>罗晓平</t>
  </si>
  <si>
    <t>罗森沿,罗晓平</t>
  </si>
  <si>
    <t>F950043102464236</t>
  </si>
  <si>
    <t>古成亮</t>
  </si>
  <si>
    <t>古成亮,古雅停,刘运成,古馨艺,古松林</t>
  </si>
  <si>
    <t>F950044214651779</t>
  </si>
  <si>
    <t>龙孝明</t>
  </si>
  <si>
    <t>F950044687776953</t>
  </si>
  <si>
    <t>李天平</t>
  </si>
  <si>
    <t>F234384840496364</t>
  </si>
  <si>
    <t>星海村委会</t>
  </si>
  <si>
    <t>张文正</t>
  </si>
  <si>
    <t>F289885385322262</t>
  </si>
  <si>
    <t>董炼华</t>
  </si>
  <si>
    <t>F631148758773310</t>
  </si>
  <si>
    <t>敖翔峰</t>
  </si>
  <si>
    <t>敖翔峰,黄贞云</t>
  </si>
  <si>
    <t>F631158157210829</t>
  </si>
  <si>
    <t>张正兴</t>
  </si>
  <si>
    <t>王荣付,张正兴</t>
  </si>
  <si>
    <t>F665750486515503</t>
  </si>
  <si>
    <t>李泽远</t>
  </si>
  <si>
    <t>李泽远,李萌达</t>
  </si>
  <si>
    <t>F750637143384816</t>
  </si>
  <si>
    <t>李贤元</t>
  </si>
  <si>
    <t>李贤元,邓银珍,李平</t>
  </si>
  <si>
    <t>F812639177751884</t>
  </si>
  <si>
    <t>李泽胡</t>
  </si>
  <si>
    <t>罗浩,罗俊羲,李泽胡</t>
  </si>
  <si>
    <t>F841374293129922</t>
  </si>
  <si>
    <t>李佳龙</t>
  </si>
  <si>
    <t>F841386568328579</t>
  </si>
  <si>
    <t>袁丽</t>
  </si>
  <si>
    <t>F842261363954820</t>
  </si>
  <si>
    <t>朱瑶瑶</t>
  </si>
  <si>
    <t>陈辉容,朱瑶瑶</t>
  </si>
  <si>
    <t>F894993720523240</t>
  </si>
  <si>
    <t>李冬</t>
  </si>
  <si>
    <t>李冬,李泽清,余才香,李思辰</t>
  </si>
  <si>
    <t>F895008075992860</t>
  </si>
  <si>
    <t>刘林春</t>
  </si>
  <si>
    <t>胡文琼,刘林春</t>
  </si>
  <si>
    <t>F949982346527374</t>
  </si>
  <si>
    <t>王章明</t>
  </si>
  <si>
    <t>F950014844964195</t>
  </si>
  <si>
    <t>李茂松</t>
  </si>
  <si>
    <t>刘平,李茂松,李蓉</t>
  </si>
  <si>
    <t>F950015386995785</t>
  </si>
  <si>
    <t>李先龙</t>
  </si>
  <si>
    <t>F950018318245667</t>
  </si>
  <si>
    <t>李泽龙</t>
  </si>
  <si>
    <t>李泽龙,李恩金,李宇浩,李震汶</t>
  </si>
  <si>
    <t>F950018550120436</t>
  </si>
  <si>
    <t>敖纯周</t>
  </si>
  <si>
    <t>F950020546214019</t>
  </si>
  <si>
    <t>敖良德</t>
  </si>
  <si>
    <t>敖锦恩,敖良德,敖良飞,敖焮栎,敖锦意</t>
  </si>
  <si>
    <t>F950038188714651</t>
  </si>
  <si>
    <t>兰永建</t>
  </si>
  <si>
    <t>兰永建,兰学锋,陈国容,兰振旗</t>
  </si>
  <si>
    <t>F950038334964825</t>
  </si>
  <si>
    <t>张正贵</t>
  </si>
  <si>
    <t>张正贵,张永发,刘绍富</t>
  </si>
  <si>
    <t>F950040527620970</t>
  </si>
  <si>
    <t>敖纯照</t>
  </si>
  <si>
    <t>敖天旭,敖良洪,敖纯照</t>
  </si>
  <si>
    <t>F950040983245802</t>
  </si>
  <si>
    <t>刘运胡</t>
  </si>
  <si>
    <t>刘运胡,袁代勤,刘丽</t>
  </si>
  <si>
    <t>F950041959808121</t>
  </si>
  <si>
    <t>李泽富</t>
  </si>
  <si>
    <t>李泽富,李遥遥,魏进泽,李美霖</t>
  </si>
  <si>
    <t>F950042039026835</t>
  </si>
  <si>
    <t>舒兴盆</t>
  </si>
  <si>
    <t>舒兴盆,舒丽群,彭盛英,舒丽梅</t>
  </si>
  <si>
    <t>F950042431995471</t>
  </si>
  <si>
    <t>张永乾</t>
  </si>
  <si>
    <t>F950043339963999</t>
  </si>
  <si>
    <t>张兴平</t>
  </si>
  <si>
    <t>朱喜英,张兴平,唐雨桐</t>
  </si>
  <si>
    <t>F975164275204541</t>
  </si>
  <si>
    <t>高玉斌</t>
  </si>
  <si>
    <t>彭道兴,高玉斌,高伟</t>
  </si>
  <si>
    <t>F980035395608453</t>
  </si>
  <si>
    <t>王章银</t>
  </si>
  <si>
    <t>F980038829974094</t>
  </si>
  <si>
    <t>伍明友</t>
  </si>
  <si>
    <t>范有雯,伍明友,范虹颖</t>
  </si>
  <si>
    <t>F980053182298041</t>
  </si>
  <si>
    <t>熊荣培</t>
  </si>
  <si>
    <t>熊荣培,熊彬岐</t>
  </si>
  <si>
    <t>F003749220120903</t>
  </si>
  <si>
    <t>永兴村委会</t>
  </si>
  <si>
    <t>覃贵平</t>
  </si>
  <si>
    <t>覃忠秀,黄琦荃,覃贵平,黄筱雯</t>
  </si>
  <si>
    <t>F003755074808265</t>
  </si>
  <si>
    <t>赵宗祥</t>
  </si>
  <si>
    <t>赵宗祥,罗兴群,赵寄钧</t>
  </si>
  <si>
    <t>F003759232620477</t>
  </si>
  <si>
    <t>李显均</t>
  </si>
  <si>
    <t>阿灯尔巫,李付贵,李霞,李孟莲,李显均</t>
  </si>
  <si>
    <t>F005262308714103</t>
  </si>
  <si>
    <t>李泽伦</t>
  </si>
  <si>
    <t>F053703098227131</t>
  </si>
  <si>
    <t>赵纯英</t>
  </si>
  <si>
    <t>F054396038005940</t>
  </si>
  <si>
    <t>李泽均</t>
  </si>
  <si>
    <t>李恩锐,向德秀,李沿龙,罗在平,李泽均</t>
  </si>
  <si>
    <t>F054407183786834</t>
  </si>
  <si>
    <t>周群斌</t>
  </si>
  <si>
    <t>欧光玲,赵成英,周群斌,周茂林</t>
  </si>
  <si>
    <t>F088057188789181</t>
  </si>
  <si>
    <t>李献文</t>
  </si>
  <si>
    <t>李献文,李泳昆</t>
  </si>
  <si>
    <t>F089009020453863</t>
  </si>
  <si>
    <t>赵学银</t>
  </si>
  <si>
    <t>F128121516099272</t>
  </si>
  <si>
    <t>周再炳</t>
  </si>
  <si>
    <t>杨友珍,周界东,周建刚,周再炳</t>
  </si>
  <si>
    <t>F215129326497635</t>
  </si>
  <si>
    <t>陈洪清</t>
  </si>
  <si>
    <t>龙贵珍,陈洪清,陈俊霖,陈晨</t>
  </si>
  <si>
    <t>F234319186278093</t>
  </si>
  <si>
    <t>林成兰</t>
  </si>
  <si>
    <t>林成兰,林立和,林文馨,杨兴付</t>
  </si>
  <si>
    <t>F256550889489741</t>
  </si>
  <si>
    <t>刘兴来</t>
  </si>
  <si>
    <t>刘兴来,刘恩玲,刘俊濠,刘华</t>
  </si>
  <si>
    <t>F256564011472171</t>
  </si>
  <si>
    <t>黄仁雄</t>
  </si>
  <si>
    <t>黄仁雄,黄义虹,彭明芝,黄彬</t>
  </si>
  <si>
    <t>F256567908698799</t>
  </si>
  <si>
    <t>黄丙书</t>
  </si>
  <si>
    <t>黄丙书,黄今通,黄今来,黄海林</t>
  </si>
  <si>
    <t>F285174645082909</t>
  </si>
  <si>
    <t>银永康</t>
  </si>
  <si>
    <t>F317580564957635</t>
  </si>
  <si>
    <t>颜自胜</t>
  </si>
  <si>
    <t>李志江,颜琼,颜自胜,阎定树</t>
  </si>
  <si>
    <t>F317587120878730</t>
  </si>
  <si>
    <t>黄从书</t>
  </si>
  <si>
    <t>F317594188538906</t>
  </si>
  <si>
    <t>吴康琴</t>
  </si>
  <si>
    <t>周星言,吴康琴,周华,周钰洙,周莘峪</t>
  </si>
  <si>
    <t>F393922013726949</t>
  </si>
  <si>
    <t>余洪全</t>
  </si>
  <si>
    <t>余洪全,陈维香</t>
  </si>
  <si>
    <t>F400375339626101</t>
  </si>
  <si>
    <t>李保财</t>
  </si>
  <si>
    <t>李保财,张华秀,李勇</t>
  </si>
  <si>
    <t>F400378260006150</t>
  </si>
  <si>
    <t>王付高</t>
  </si>
  <si>
    <t>段安琼,王付高,王应才</t>
  </si>
  <si>
    <t>F400380730269783</t>
  </si>
  <si>
    <t>李先伦</t>
  </si>
  <si>
    <t>陈秋林,李先伦</t>
  </si>
  <si>
    <t>F400384102965065</t>
  </si>
  <si>
    <t>林辉</t>
  </si>
  <si>
    <t>F510315269353460</t>
  </si>
  <si>
    <t>王修伦</t>
  </si>
  <si>
    <t>F516573260017296</t>
  </si>
  <si>
    <t>袁云华</t>
  </si>
  <si>
    <t>袁云华,张正玉</t>
  </si>
  <si>
    <t>F554348693696964</t>
  </si>
  <si>
    <t>沈建财</t>
  </si>
  <si>
    <t>沈建财,沈蒲振海,沈子兮</t>
  </si>
  <si>
    <t>F593467824724515</t>
  </si>
  <si>
    <t>何成礼</t>
  </si>
  <si>
    <t>何成礼,代国华,何文祥</t>
  </si>
  <si>
    <t>F631171996585799</t>
  </si>
  <si>
    <t>袁孟强,袁道明,袁冬,袁孔云,袁道兴,刘晓红</t>
  </si>
  <si>
    <t>F631181956898303</t>
  </si>
  <si>
    <t>黄义清</t>
  </si>
  <si>
    <t>F631186680804589</t>
  </si>
  <si>
    <t>周伦友</t>
  </si>
  <si>
    <t>F631190965179571</t>
  </si>
  <si>
    <t>黄贵平</t>
  </si>
  <si>
    <t>黄贵平,萧仕琼,黄麗源</t>
  </si>
  <si>
    <t>F666939325685350</t>
  </si>
  <si>
    <t>吴家碧</t>
  </si>
  <si>
    <t>吴家碧,刘运琼</t>
  </si>
  <si>
    <t>F666944385939385</t>
  </si>
  <si>
    <t>唐龙书</t>
  </si>
  <si>
    <t>敖容,唐龙书,唐成委,唐成烈</t>
  </si>
  <si>
    <t>F666952001564233</t>
  </si>
  <si>
    <t>何德康</t>
  </si>
  <si>
    <t>F713608317478281</t>
  </si>
  <si>
    <t>李再钦</t>
  </si>
  <si>
    <t>F744891834881931</t>
  </si>
  <si>
    <t>赵品珍</t>
  </si>
  <si>
    <t>田雪峰,赵品珍</t>
  </si>
  <si>
    <t>F844799649421228</t>
  </si>
  <si>
    <t>唐伟</t>
  </si>
  <si>
    <t>唐齐,唐显贵,郑有珍,唐伟</t>
  </si>
  <si>
    <t>F852919963011861</t>
  </si>
  <si>
    <t>F868612577120179</t>
  </si>
  <si>
    <t>颜润琼</t>
  </si>
  <si>
    <t>刘川梦,颜润琼</t>
  </si>
  <si>
    <t>F920656387398803</t>
  </si>
  <si>
    <t>敖良清</t>
  </si>
  <si>
    <t>敖天怡,敖良清,敖天蓉,夏传和</t>
  </si>
  <si>
    <t>F920666644369040</t>
  </si>
  <si>
    <t>颜明富</t>
  </si>
  <si>
    <t>颜自江,颜明富</t>
  </si>
  <si>
    <t>F934077128057226</t>
  </si>
  <si>
    <t>黄仁举</t>
  </si>
  <si>
    <t>F949984321683557</t>
  </si>
  <si>
    <t>黄仁会</t>
  </si>
  <si>
    <t>俄著哥果,黄仁会</t>
  </si>
  <si>
    <t>F949984337307845</t>
  </si>
  <si>
    <t>余胜清</t>
  </si>
  <si>
    <t>余美霖,余治江,余胜清,郭燕,余首宏</t>
  </si>
  <si>
    <t>F950011382620531</t>
  </si>
  <si>
    <t>杨先学</t>
  </si>
  <si>
    <t>杨琴,袁付贵,杨先学</t>
  </si>
  <si>
    <t>F950011400433734</t>
  </si>
  <si>
    <t>黄义巧</t>
  </si>
  <si>
    <t>F950011762620442</t>
  </si>
  <si>
    <t>杨玖明</t>
  </si>
  <si>
    <t>杨玖明,杨挺玉</t>
  </si>
  <si>
    <t>F950012891526719</t>
  </si>
  <si>
    <t>陈克有</t>
  </si>
  <si>
    <t>敖良友,陈绍和,陈红,陈克有,熊海珍,陈红平</t>
  </si>
  <si>
    <t>F950013633870533</t>
  </si>
  <si>
    <t>刘香玉</t>
  </si>
  <si>
    <t>F950014441682993</t>
  </si>
  <si>
    <t>周羲淇</t>
  </si>
  <si>
    <t>周云丹,周羲淇</t>
  </si>
  <si>
    <t>F950015098245811</t>
  </si>
  <si>
    <t>黄崇斌</t>
  </si>
  <si>
    <t>黄建清,漆贵真,黄崇斌,黄通亮</t>
  </si>
  <si>
    <t>F950015654027119</t>
  </si>
  <si>
    <t>蒲容</t>
  </si>
  <si>
    <t>F950015805589615</t>
  </si>
  <si>
    <t>李佑钦</t>
  </si>
  <si>
    <t>F950016695276795</t>
  </si>
  <si>
    <t>袁孔招</t>
  </si>
  <si>
    <t>袁孔招,胡龙文,袁娴婕,袁萍艺</t>
  </si>
  <si>
    <t>F950016731839276</t>
  </si>
  <si>
    <t>王太章</t>
  </si>
  <si>
    <t>F950018346371003</t>
  </si>
  <si>
    <t>吴家根</t>
  </si>
  <si>
    <t>敖纯元,吴家根</t>
  </si>
  <si>
    <t>F950022379808101</t>
  </si>
  <si>
    <t>李成刚</t>
  </si>
  <si>
    <t>李瑞麒,李瑞麟,李成刚,李瑞烯</t>
  </si>
  <si>
    <t>F950022456526639</t>
  </si>
  <si>
    <t>田自良</t>
  </si>
  <si>
    <t>F950024510901946</t>
  </si>
  <si>
    <t>陈克均</t>
  </si>
  <si>
    <t>陈洪,陈克均,陈建,杨永琼,罗廷春</t>
  </si>
  <si>
    <t>F950024633089313</t>
  </si>
  <si>
    <t>刘成友</t>
  </si>
  <si>
    <t>刘成友,黄从波</t>
  </si>
  <si>
    <t>F950024668089494</t>
  </si>
  <si>
    <t>李文英</t>
  </si>
  <si>
    <t>F950026394339427</t>
  </si>
  <si>
    <t>刘昌英</t>
  </si>
  <si>
    <t>林启银,刘昌英,林有宣</t>
  </si>
  <si>
    <t>F950026642932821</t>
  </si>
  <si>
    <t>邹泽珍</t>
  </si>
  <si>
    <t>F950026786838831</t>
  </si>
  <si>
    <t>何万斌</t>
  </si>
  <si>
    <t>杨义均,何万斌</t>
  </si>
  <si>
    <t>F950026929026649</t>
  </si>
  <si>
    <t>黄仁永</t>
  </si>
  <si>
    <t>黄仁永,黄义红,黄义琴,何国珍,黄群,舒保彩</t>
  </si>
  <si>
    <t>F950027851526974</t>
  </si>
  <si>
    <t>龙贵华</t>
  </si>
  <si>
    <t>龙贵华,罗兴珍,王应雄,李馥瑶,胡燕</t>
  </si>
  <si>
    <t>F950027930589480</t>
  </si>
  <si>
    <t>袁公武</t>
  </si>
  <si>
    <t>F950028824026791</t>
  </si>
  <si>
    <t>刘志均</t>
  </si>
  <si>
    <t>刘宸源,刘霞,杨世芬,刘志均</t>
  </si>
  <si>
    <t>F950028966684081</t>
  </si>
  <si>
    <t>胡龙秀</t>
  </si>
  <si>
    <t>胡龙秀,赵学兵</t>
  </si>
  <si>
    <t>F950029000746600</t>
  </si>
  <si>
    <t>陈远志</t>
  </si>
  <si>
    <t>王晓晴,陈远志,陈霞,颜明芬,陈锡武,王谊琴</t>
  </si>
  <si>
    <t>F950030063089818</t>
  </si>
  <si>
    <t>林有刚</t>
  </si>
  <si>
    <t>林有刚,林旺</t>
  </si>
  <si>
    <t>F950030083714280</t>
  </si>
  <si>
    <t>田自兵</t>
  </si>
  <si>
    <t>F950030603245649</t>
  </si>
  <si>
    <t>吴家锡</t>
  </si>
  <si>
    <t>吴家锡,周应均</t>
  </si>
  <si>
    <t>F950032600745489</t>
  </si>
  <si>
    <t>刘宏松</t>
  </si>
  <si>
    <t>F950032881683310</t>
  </si>
  <si>
    <t>黄义兴</t>
  </si>
  <si>
    <t>黄义兴,黄秋萍</t>
  </si>
  <si>
    <t>F950032884964347</t>
  </si>
  <si>
    <t>唐国英</t>
  </si>
  <si>
    <t>唐国英,黄福都</t>
  </si>
  <si>
    <t>F950033102933092</t>
  </si>
  <si>
    <t>罗琼英</t>
  </si>
  <si>
    <t>何亚联,何成光,罗琼英</t>
  </si>
  <si>
    <t>F950033733714115</t>
  </si>
  <si>
    <t>龙国银</t>
  </si>
  <si>
    <t>龙国银,陈绍兴</t>
  </si>
  <si>
    <t>F950033738558126</t>
  </si>
  <si>
    <t>周应贵</t>
  </si>
  <si>
    <t>F950034255121061</t>
  </si>
  <si>
    <t>林友伦</t>
  </si>
  <si>
    <t>温玉贞,林友伦</t>
  </si>
  <si>
    <t>F950034501058469</t>
  </si>
  <si>
    <t>陈长贵</t>
  </si>
  <si>
    <t>周义淞,陈长贵</t>
  </si>
  <si>
    <t>F950036872933645</t>
  </si>
  <si>
    <t>詹秀美</t>
  </si>
  <si>
    <t>黄靖惠,黄淇麟,罗宗秀,詹秀美</t>
  </si>
  <si>
    <t>F950037031058018</t>
  </si>
  <si>
    <t>周再元</t>
  </si>
  <si>
    <t>周再元,周泳刚</t>
  </si>
  <si>
    <t>F950037057464512</t>
  </si>
  <si>
    <t>江朝仙</t>
  </si>
  <si>
    <t>刘俊华,王勤琴,熊国会,刘庚鑫,刘隆海,江朝仙</t>
  </si>
  <si>
    <t>F950037094964687</t>
  </si>
  <si>
    <t>周伦平</t>
  </si>
  <si>
    <t>周伦平,唐晓琴,李初依,唐文仲</t>
  </si>
  <si>
    <t>F950037848870660</t>
  </si>
  <si>
    <t>陈克明</t>
  </si>
  <si>
    <t>陈克明,李婷</t>
  </si>
  <si>
    <t>F950037975590462</t>
  </si>
  <si>
    <t>唐文友</t>
  </si>
  <si>
    <t>F950039189339157</t>
  </si>
  <si>
    <t>黄家群</t>
  </si>
  <si>
    <t>黄家群,周桂羽,周桂平,周光祥</t>
  </si>
  <si>
    <t>F950039196527107</t>
  </si>
  <si>
    <t>蒲显芳</t>
  </si>
  <si>
    <t>F950039748870586</t>
  </si>
  <si>
    <t>陈洪才</t>
  </si>
  <si>
    <t>陈美勤,陈洪才</t>
  </si>
  <si>
    <t>F950040044027350</t>
  </si>
  <si>
    <t>黄义元</t>
  </si>
  <si>
    <t>罗文润,黄丛红,黄义元</t>
  </si>
  <si>
    <t>F950043251058851</t>
  </si>
  <si>
    <t>吴家虎</t>
  </si>
  <si>
    <t>F950044530901736</t>
  </si>
  <si>
    <t>廖乐明</t>
  </si>
  <si>
    <t>F956528795142330</t>
  </si>
  <si>
    <t>崔晓红</t>
  </si>
  <si>
    <t>漆静,王电萍,王殿淇,王殿溶,崔晓红</t>
  </si>
  <si>
    <t>F975175222815918</t>
  </si>
  <si>
    <t>袁伟</t>
  </si>
  <si>
    <t>袁嘉良,袁雪琼,袁伟,袁雪兰,伍兴凤,袁孔书,马平桂,袁雪芹</t>
  </si>
  <si>
    <t>F975194924673971</t>
  </si>
  <si>
    <t>邹泽发</t>
  </si>
  <si>
    <t>颜自英,邹泽发</t>
  </si>
  <si>
    <t>F997661104050272</t>
  </si>
  <si>
    <t>杨书右</t>
  </si>
  <si>
    <t>黄仁菊,杨杨,杨先盆,杨书右</t>
  </si>
  <si>
    <t>F005298602308091</t>
  </si>
  <si>
    <t>张村村委会</t>
  </si>
  <si>
    <t>蒲四征</t>
  </si>
  <si>
    <t>蒲四征,袁代凤</t>
  </si>
  <si>
    <t>F005305781995985</t>
  </si>
  <si>
    <t>黄义武</t>
  </si>
  <si>
    <t>敖天敏,黄义武,黄崇琼</t>
  </si>
  <si>
    <t>F005309696527245</t>
  </si>
  <si>
    <t>黄仁俊</t>
  </si>
  <si>
    <t>刘树清,黄仁俊,黄红</t>
  </si>
  <si>
    <t>F022508948674763</t>
  </si>
  <si>
    <t>沈学文</t>
  </si>
  <si>
    <t>沈学文,沈科学,杨先春,沈玉婷</t>
  </si>
  <si>
    <t>F058462146136218</t>
  </si>
  <si>
    <t>袁代忠</t>
  </si>
  <si>
    <t>袁绿容,袁平,袁代忠,唐明秀,袁燕,吴永珍</t>
  </si>
  <si>
    <t>F168017212125817</t>
  </si>
  <si>
    <t>蒋明前</t>
  </si>
  <si>
    <t>田容,蒋淳屹,董玉付,蒋明前</t>
  </si>
  <si>
    <t>F188846516917220</t>
  </si>
  <si>
    <t>袁梅</t>
  </si>
  <si>
    <t>袁梅,姚鑫</t>
  </si>
  <si>
    <t>F234361258465419</t>
  </si>
  <si>
    <t>唐远平</t>
  </si>
  <si>
    <t>唐鑫,唐远平</t>
  </si>
  <si>
    <t>F234372706501678</t>
  </si>
  <si>
    <t>罗继田</t>
  </si>
  <si>
    <t>罗继田,罗令</t>
  </si>
  <si>
    <t>F317548190897292</t>
  </si>
  <si>
    <t>伍兴怀</t>
  </si>
  <si>
    <t>伍兴怀,伍湘,罗宗芝</t>
  </si>
  <si>
    <t>F317559177719208</t>
  </si>
  <si>
    <t>陈永明</t>
  </si>
  <si>
    <t>陈永明,欧洪兵,欧芝霖</t>
  </si>
  <si>
    <t>F317569282686140</t>
  </si>
  <si>
    <t>黄义文</t>
  </si>
  <si>
    <t>黄义文,黄崇萍</t>
  </si>
  <si>
    <t>F317575058890691</t>
  </si>
  <si>
    <t>陈少琼</t>
  </si>
  <si>
    <t>陈少琼,周慧兰,周慧芩</t>
  </si>
  <si>
    <t>F549582938064162</t>
  </si>
  <si>
    <t>郭俊成</t>
  </si>
  <si>
    <t>郭宇航,郭宇婷,郭俊成,郭建东</t>
  </si>
  <si>
    <t>F586119958529325</t>
  </si>
  <si>
    <t>罗宗来</t>
  </si>
  <si>
    <t>罗付龙,陈发林,罗宗来</t>
  </si>
  <si>
    <t>F595370628659688</t>
  </si>
  <si>
    <t>袁代有</t>
  </si>
  <si>
    <t>袁代有,左志兴,袁富彬,袁婷,袁虹智</t>
  </si>
  <si>
    <t>F595376199509661</t>
  </si>
  <si>
    <t>王本才</t>
  </si>
  <si>
    <t>袁富祥,袁媛,王本才</t>
  </si>
  <si>
    <t>F613858910371427</t>
  </si>
  <si>
    <t>周武</t>
  </si>
  <si>
    <t>周武,周嘉诚</t>
  </si>
  <si>
    <t>F631202233460817</t>
  </si>
  <si>
    <t>李恩来</t>
  </si>
  <si>
    <t>李云泽,李恩来,蒲四香,李俊明,李俊林</t>
  </si>
  <si>
    <t>F649030893372034</t>
  </si>
  <si>
    <t>罗昌玉</t>
  </si>
  <si>
    <t>周洪宇,罗昌玉,周应荣,周洪吉</t>
  </si>
  <si>
    <t>F677819316439266</t>
  </si>
  <si>
    <t>袁代美</t>
  </si>
  <si>
    <t>袁代美,罗建国,罗悦馨,罗守超,吕鸿梅</t>
  </si>
  <si>
    <t>F812650401251337</t>
  </si>
  <si>
    <t>伍朝元</t>
  </si>
  <si>
    <t>伍朝元,赵修富,伍兴康</t>
  </si>
  <si>
    <t>F891590358683286</t>
  </si>
  <si>
    <t>何自珍</t>
  </si>
  <si>
    <t>何自珍,周科廷</t>
  </si>
  <si>
    <t>F934077484464117</t>
  </si>
  <si>
    <t>王本余</t>
  </si>
  <si>
    <t>王本余,王继雄,李德明,王洺森</t>
  </si>
  <si>
    <t>F934078183995249</t>
  </si>
  <si>
    <t>伍桂材</t>
  </si>
  <si>
    <t>伍桂材,王改华,伍柏林,伍奕柔,伍明祥,高代容</t>
  </si>
  <si>
    <t>F949982269182783</t>
  </si>
  <si>
    <t>李龙富</t>
  </si>
  <si>
    <t>F949984177151748</t>
  </si>
  <si>
    <t>谢明聪</t>
  </si>
  <si>
    <t>谢明聪,李云锋,唐左付</t>
  </si>
  <si>
    <t>F949984287151980</t>
  </si>
  <si>
    <t>周应刚</t>
  </si>
  <si>
    <t>周伦昆,周应刚,宋吉香,周伦超</t>
  </si>
  <si>
    <t>F949990111682846</t>
  </si>
  <si>
    <t>袁禄杰</t>
  </si>
  <si>
    <t>F950013603558000</t>
  </si>
  <si>
    <t>罗宗根</t>
  </si>
  <si>
    <t>吴家清,罗智,罗宗根</t>
  </si>
  <si>
    <t>F950014323401729</t>
  </si>
  <si>
    <t>邹明鲜</t>
  </si>
  <si>
    <t>F950014847933243</t>
  </si>
  <si>
    <t>代进权</t>
  </si>
  <si>
    <t>代进权,代沐峰</t>
  </si>
  <si>
    <t>F950015179808342</t>
  </si>
  <si>
    <t>李先宇</t>
  </si>
  <si>
    <t>李先宇,李瑞雪,王继才,李巧兰,李永康</t>
  </si>
  <si>
    <t>F950015562942575</t>
  </si>
  <si>
    <t>王继桃</t>
  </si>
  <si>
    <t>王继桃,李伍英,王松</t>
  </si>
  <si>
    <t>F950016374651848</t>
  </si>
  <si>
    <t>袁代英</t>
  </si>
  <si>
    <t>F950016494339740</t>
  </si>
  <si>
    <t>颜明秀</t>
  </si>
  <si>
    <t>颜明秀,周嘉艺,周永忠,周伦俊</t>
  </si>
  <si>
    <t>F950020406058454</t>
  </si>
  <si>
    <t>代润会</t>
  </si>
  <si>
    <t>袁代珍,代润会</t>
  </si>
  <si>
    <t>F950022409808154</t>
  </si>
  <si>
    <t>袁福忠</t>
  </si>
  <si>
    <t>罗正容,袁宇星,袁智宸,罗明华,袁福忠,袁雨婷</t>
  </si>
  <si>
    <t>F950022629183346</t>
  </si>
  <si>
    <t>蒲四军</t>
  </si>
  <si>
    <t>蒲四军,蒲书明</t>
  </si>
  <si>
    <t>F950024125746125</t>
  </si>
  <si>
    <t>代润权</t>
  </si>
  <si>
    <t>代筱涵,代进园,杨霞,代仕杰,伍莉容,代润权,代春燕,代进文</t>
  </si>
  <si>
    <t>F950024277620289</t>
  </si>
  <si>
    <t>袁代金</t>
  </si>
  <si>
    <t>杨再银,袁洪英,袁灵湘,袁代金</t>
  </si>
  <si>
    <t>F950024295745459</t>
  </si>
  <si>
    <t>欧明宣</t>
  </si>
  <si>
    <t>欧洪江,欧世洁,欧明宣</t>
  </si>
  <si>
    <t>F950024376839689</t>
  </si>
  <si>
    <t>向乾亨</t>
  </si>
  <si>
    <t>向乾亨,董洪纯,董玉元,董洪有</t>
  </si>
  <si>
    <t>F950024793714094</t>
  </si>
  <si>
    <t>袁付前</t>
  </si>
  <si>
    <t>袁艺星,袁付前,袁长健</t>
  </si>
  <si>
    <t>F950024890589435</t>
  </si>
  <si>
    <t>周伦辉</t>
  </si>
  <si>
    <t>周伦辉,周仁玲,周叶洋</t>
  </si>
  <si>
    <t>F950026521214562</t>
  </si>
  <si>
    <t>欧光有</t>
  </si>
  <si>
    <t>F950026549183092</t>
  </si>
  <si>
    <t>王继淮</t>
  </si>
  <si>
    <t>王红,周柄呈,王常秀,黄仁宽,王继淮</t>
  </si>
  <si>
    <t>F950026604495722</t>
  </si>
  <si>
    <t>罗兴炳</t>
  </si>
  <si>
    <t>罗玉英,罗兴炳,尹昌贵</t>
  </si>
  <si>
    <t>F950026608090002</t>
  </si>
  <si>
    <t>李泽珍</t>
  </si>
  <si>
    <t>周松柏,李泽珍</t>
  </si>
  <si>
    <t>F950026610901828</t>
  </si>
  <si>
    <t>袁代聪</t>
  </si>
  <si>
    <t>袁代聪,袁丽,马光容,林青松</t>
  </si>
  <si>
    <t>F950027066683487</t>
  </si>
  <si>
    <t>袁代成</t>
  </si>
  <si>
    <t>周树英,袁梅,袁代成,袁杰</t>
  </si>
  <si>
    <t>F950027865589509</t>
  </si>
  <si>
    <t>黄仁刚</t>
  </si>
  <si>
    <t>黄仁刚,黄伯成,印炳香,黄建平,黄宇正</t>
  </si>
  <si>
    <t>F950028564339731</t>
  </si>
  <si>
    <t>伍明雨</t>
  </si>
  <si>
    <t>F950028762777078</t>
  </si>
  <si>
    <t>周富银</t>
  </si>
  <si>
    <t>周富银,周琴,周彭莉</t>
  </si>
  <si>
    <t>F950029136370763</t>
  </si>
  <si>
    <t>袁代强</t>
  </si>
  <si>
    <t>F950030105745946</t>
  </si>
  <si>
    <t>唐凤珍</t>
  </si>
  <si>
    <t>唐凤珍,周玉达</t>
  </si>
  <si>
    <t>F950030249652114</t>
  </si>
  <si>
    <t>伍朝云</t>
  </si>
  <si>
    <t>伍朝云,伍兴红</t>
  </si>
  <si>
    <t>F950030505276869</t>
  </si>
  <si>
    <t>周伦山</t>
  </si>
  <si>
    <t>栗云香,周伦山,王艳芳,周佳来,张魁园,周兵来</t>
  </si>
  <si>
    <t>F950030781215240</t>
  </si>
  <si>
    <t>袁付田</t>
  </si>
  <si>
    <t>袁茂鑫,袁梦慈,袁付田</t>
  </si>
  <si>
    <t>F950030853401919</t>
  </si>
  <si>
    <t>袁代煌</t>
  </si>
  <si>
    <t>袁代煌,刘坤珍</t>
  </si>
  <si>
    <t>F950030980589065</t>
  </si>
  <si>
    <t>王顺具</t>
  </si>
  <si>
    <t>汤副珍,王本兵,王顺具</t>
  </si>
  <si>
    <t>F950031124651929</t>
  </si>
  <si>
    <t>向书林</t>
  </si>
  <si>
    <t>向桂兰,向书林,向乾培,王万珍</t>
  </si>
  <si>
    <t>F950032092151759</t>
  </si>
  <si>
    <t>向元珍</t>
  </si>
  <si>
    <t>周文强,向元珍,周仁寿</t>
  </si>
  <si>
    <t>F950032790902083</t>
  </si>
  <si>
    <t>伍朝存</t>
  </si>
  <si>
    <t>F950032997620742</t>
  </si>
  <si>
    <t>袁勤</t>
  </si>
  <si>
    <t>F950033150901545</t>
  </si>
  <si>
    <t>孙传治</t>
  </si>
  <si>
    <t>罗宁书,罗守壁,孙传治</t>
  </si>
  <si>
    <t>F950033159807915</t>
  </si>
  <si>
    <t>王继才</t>
  </si>
  <si>
    <t>王继才,吴朝萍,王小华,王虹稀</t>
  </si>
  <si>
    <t>F950033825433045</t>
  </si>
  <si>
    <t>袁付强</t>
  </si>
  <si>
    <t>袁付强,袁友成</t>
  </si>
  <si>
    <t>F950034386839698</t>
  </si>
  <si>
    <t>黄颜俊</t>
  </si>
  <si>
    <t>F950035847776597</t>
  </si>
  <si>
    <t>罗宗财</t>
  </si>
  <si>
    <t>罗宗财,杨旺金,罗常秀,董德金</t>
  </si>
  <si>
    <t>F950035997620567</t>
  </si>
  <si>
    <t>郭正元</t>
  </si>
  <si>
    <t>伍兴文,郭正元,伍佳丽</t>
  </si>
  <si>
    <t>F950036043558016</t>
  </si>
  <si>
    <t>袁银</t>
  </si>
  <si>
    <t>胡自坪,袁银,袁富凯,袁雨成,文兴秀,袁艺婷</t>
  </si>
  <si>
    <t>F950036079026450</t>
  </si>
  <si>
    <t>袁代树</t>
  </si>
  <si>
    <t>袁代树,邓正树,袁宋萍</t>
  </si>
  <si>
    <t>F950036501995307</t>
  </si>
  <si>
    <t>伍朝华</t>
  </si>
  <si>
    <t>F950036707933263</t>
  </si>
  <si>
    <t>李先云</t>
  </si>
  <si>
    <t>李先云,李文翔</t>
  </si>
  <si>
    <t>F950038015120532</t>
  </si>
  <si>
    <t>蒲国书</t>
  </si>
  <si>
    <t>蒲国书,罗会权</t>
  </si>
  <si>
    <t>F950038898401779</t>
  </si>
  <si>
    <t>沈才和</t>
  </si>
  <si>
    <t>沈才和,敖盛祥</t>
  </si>
  <si>
    <t>F950039016527293</t>
  </si>
  <si>
    <t>吴桂英</t>
  </si>
  <si>
    <t>F950039026058016</t>
  </si>
  <si>
    <t>伍朝伦</t>
  </si>
  <si>
    <t>F950040713714298</t>
  </si>
  <si>
    <t>周伦省</t>
  </si>
  <si>
    <t>周洁,周渝杭,罗昌兴,周伦省</t>
  </si>
  <si>
    <t>F950040740432808</t>
  </si>
  <si>
    <t>敖艮盛</t>
  </si>
  <si>
    <t>F950041104964864</t>
  </si>
  <si>
    <t>杨元平</t>
  </si>
  <si>
    <t>杨元平,陈华云,杨元明,杨文章,杨梓财,杨梓兰</t>
  </si>
  <si>
    <t>F950041163870743</t>
  </si>
  <si>
    <t>周伦忠</t>
  </si>
  <si>
    <t>周晴苹,周伦忠,张永珍</t>
  </si>
  <si>
    <t>F950042349028026</t>
  </si>
  <si>
    <t>曾自华</t>
  </si>
  <si>
    <t>曾自华,曾永城,曾晓燕,曾秋荣,曾茂洪,邹永先</t>
  </si>
  <si>
    <t>F950042614183471</t>
  </si>
  <si>
    <t>罗宗巡</t>
  </si>
  <si>
    <t>罗成斌,罗宗巡,罗俊杰,罗嘉欣</t>
  </si>
  <si>
    <t>F950043166839571</t>
  </si>
  <si>
    <t>邓仕均</t>
  </si>
  <si>
    <t>蒋明香,邓昌蓉,邓仕均,邓昌琼,李文瑛,李文景</t>
  </si>
  <si>
    <t>F950044240276827</t>
  </si>
  <si>
    <t>杨久林</t>
  </si>
  <si>
    <t>杨久林,罗守芬,袁付金,袁伟,袁艾琳</t>
  </si>
  <si>
    <t>F950044352777052</t>
  </si>
  <si>
    <t>王文珍</t>
  </si>
  <si>
    <t>F950044405745704</t>
  </si>
  <si>
    <t>袁富勋</t>
  </si>
  <si>
    <t>F950044613558443</t>
  </si>
  <si>
    <t>罗守芝</t>
  </si>
  <si>
    <t>罗守芝,张丽</t>
  </si>
  <si>
    <t>F993836032464460</t>
  </si>
  <si>
    <t>唐渔</t>
  </si>
  <si>
    <t>唐铭,罗付英,唐晨源,唐渔,唐国勋,唐艺</t>
  </si>
  <si>
    <t>F227154416348833</t>
  </si>
  <si>
    <t>大楠镇</t>
  </si>
  <si>
    <t>高山村委会</t>
  </si>
  <si>
    <t>刘荣华</t>
  </si>
  <si>
    <t>刘松坪,刘荣华,刘忆罗,刘帮志</t>
  </si>
  <si>
    <t>F268686601423256</t>
  </si>
  <si>
    <t>李明江</t>
  </si>
  <si>
    <t>李光俊,张贵珍,李明江</t>
  </si>
  <si>
    <t>F368481155411882</t>
  </si>
  <si>
    <t>王明芬</t>
  </si>
  <si>
    <t>唐嘉轩,王明芬,唐希</t>
  </si>
  <si>
    <t>F422378497747651</t>
  </si>
  <si>
    <t>刘汝伦</t>
  </si>
  <si>
    <t>周成英,刘汝伦</t>
  </si>
  <si>
    <t>F442765408401564</t>
  </si>
  <si>
    <t>邓光玉</t>
  </si>
  <si>
    <t>邓光玉,曹加琼,邓建东,邓希媛</t>
  </si>
  <si>
    <t>F604363878069063</t>
  </si>
  <si>
    <t>杨加荣</t>
  </si>
  <si>
    <t>杨加荣,徐景平</t>
  </si>
  <si>
    <t>F631672117174529</t>
  </si>
  <si>
    <t>胡正林</t>
  </si>
  <si>
    <t>胡伟,胡正林,范嗣胜</t>
  </si>
  <si>
    <t>F759544883607098</t>
  </si>
  <si>
    <t>胡其泽</t>
  </si>
  <si>
    <t>郑子兰,胡其泽,胡源松</t>
  </si>
  <si>
    <t>F950009605276994</t>
  </si>
  <si>
    <t>唐光明</t>
  </si>
  <si>
    <t>唐清洪,王金珍,唐光明</t>
  </si>
  <si>
    <t>F950009636527301</t>
  </si>
  <si>
    <t>杨明军</t>
  </si>
  <si>
    <t>杨明军,周大芬,杨圆静</t>
  </si>
  <si>
    <t>F950009782776808</t>
  </si>
  <si>
    <t>罗桂华</t>
  </si>
  <si>
    <t>邓仕伟,罗桂华,邓小峰</t>
  </si>
  <si>
    <t>F950009837308260</t>
  </si>
  <si>
    <t>魏文秀</t>
  </si>
  <si>
    <t>F950011614495396</t>
  </si>
  <si>
    <t>杨加财</t>
  </si>
  <si>
    <t>杨加财,杨波</t>
  </si>
  <si>
    <t>F950015583714619</t>
  </si>
  <si>
    <t>王福明</t>
  </si>
  <si>
    <t>F950020785902089</t>
  </si>
  <si>
    <t>魏贵超</t>
  </si>
  <si>
    <t>魏贵超,魏嘉森,魏煜锋,刘学梅</t>
  </si>
  <si>
    <t>F950024701057836</t>
  </si>
  <si>
    <t>余元芬</t>
  </si>
  <si>
    <t>F950027080433176</t>
  </si>
  <si>
    <t>欧鑫宇</t>
  </si>
  <si>
    <t>欧松,欧鑫宇</t>
  </si>
  <si>
    <t>F950028643558455</t>
  </si>
  <si>
    <t>张正友</t>
  </si>
  <si>
    <t>张正友,罗绍清</t>
  </si>
  <si>
    <t>F950030014183135</t>
  </si>
  <si>
    <t>欧庭华</t>
  </si>
  <si>
    <t>欧庭华,廖致和</t>
  </si>
  <si>
    <t>F950030969495345</t>
  </si>
  <si>
    <t>邓光均</t>
  </si>
  <si>
    <t>F950033762620525</t>
  </si>
  <si>
    <t>胡全绍</t>
  </si>
  <si>
    <t>胡全绍,胡丽,胡其位</t>
  </si>
  <si>
    <t>F950033903870613</t>
  </si>
  <si>
    <t>余元招</t>
  </si>
  <si>
    <t>彭昆,余海容,余元招</t>
  </si>
  <si>
    <t>F950034598558329</t>
  </si>
  <si>
    <t>喻加齐</t>
  </si>
  <si>
    <t>F950035064495513</t>
  </si>
  <si>
    <t>翁兴玉</t>
  </si>
  <si>
    <t>冯祖英,翁兴玉</t>
  </si>
  <si>
    <t>F950036549339194</t>
  </si>
  <si>
    <t>史运琴</t>
  </si>
  <si>
    <t>F950036810745702</t>
  </si>
  <si>
    <t>莫绍甫</t>
  </si>
  <si>
    <t>黄燕,莫霏,莫绍甫,莫小东</t>
  </si>
  <si>
    <t>F950040651214334</t>
  </si>
  <si>
    <t>潘志仁</t>
  </si>
  <si>
    <t>F950042826839696</t>
  </si>
  <si>
    <t>刘显付</t>
  </si>
  <si>
    <t>F950043133870739</t>
  </si>
  <si>
    <t>刘凤军</t>
  </si>
  <si>
    <t>刘旭红,刘凤军</t>
  </si>
  <si>
    <t>F950044386527016</t>
  </si>
  <si>
    <t>刘凤英</t>
  </si>
  <si>
    <t>刘凤英,廖川</t>
  </si>
  <si>
    <t>F994760427464603</t>
  </si>
  <si>
    <t>唐全如</t>
  </si>
  <si>
    <t>F994763174182798</t>
  </si>
  <si>
    <t>胡正明</t>
  </si>
  <si>
    <t>曹光银,胡正明,胡蝶,闫富明</t>
  </si>
  <si>
    <t>F194461237930928</t>
  </si>
  <si>
    <t>白云村委会</t>
  </si>
  <si>
    <t>王毕章</t>
  </si>
  <si>
    <t>王毕章,陈会英</t>
  </si>
  <si>
    <t>F268649220173058</t>
  </si>
  <si>
    <t>朱公军</t>
  </si>
  <si>
    <t>朱公军,陈维珍,朱相益</t>
  </si>
  <si>
    <t>F268652705641729</t>
  </si>
  <si>
    <t>朱公银</t>
  </si>
  <si>
    <t>魏进芝,朱公银</t>
  </si>
  <si>
    <t>F337536614374323</t>
  </si>
  <si>
    <t>朱盛林</t>
  </si>
  <si>
    <t>朱盛林,刘影,邓国秀,朱奥磊,朱相科</t>
  </si>
  <si>
    <t>F501864733630445</t>
  </si>
  <si>
    <t>郑天翠</t>
  </si>
  <si>
    <t>李路生,郑天翠,李兴富</t>
  </si>
  <si>
    <t>F519054301567995</t>
  </si>
  <si>
    <t>陆梦婷</t>
  </si>
  <si>
    <t>陆秀全,陆梦婷</t>
  </si>
  <si>
    <t>F759533572451425</t>
  </si>
  <si>
    <t>杨斌</t>
  </si>
  <si>
    <t>杨斌,祝照霞</t>
  </si>
  <si>
    <t>F894680203237113</t>
  </si>
  <si>
    <t>李元东</t>
  </si>
  <si>
    <t>F936077797360677</t>
  </si>
  <si>
    <t>朱国扬</t>
  </si>
  <si>
    <t>朱国扬,朱强川</t>
  </si>
  <si>
    <t>F949982489027234</t>
  </si>
  <si>
    <t>王春梅</t>
  </si>
  <si>
    <t>王春梅,王培章</t>
  </si>
  <si>
    <t>F949982492464672</t>
  </si>
  <si>
    <t>王显华</t>
  </si>
  <si>
    <t>F949984352464403</t>
  </si>
  <si>
    <t>王怀章</t>
  </si>
  <si>
    <t>F950011352776971</t>
  </si>
  <si>
    <t>王全章</t>
  </si>
  <si>
    <t>杨家兰,王显君,王骏,陈世林,王全章,王蓉</t>
  </si>
  <si>
    <t>F950011631057991</t>
  </si>
  <si>
    <t>熊光容</t>
  </si>
  <si>
    <t>F950013228714309</t>
  </si>
  <si>
    <t>张世珍</t>
  </si>
  <si>
    <t>F950014999183056</t>
  </si>
  <si>
    <t>钱元奎</t>
  </si>
  <si>
    <t>F950015793089069</t>
  </si>
  <si>
    <t>刘志成</t>
  </si>
  <si>
    <t>刘小龙,刘志成</t>
  </si>
  <si>
    <t>F950020471370553</t>
  </si>
  <si>
    <t>王故章</t>
  </si>
  <si>
    <t>王丽,邓仕平,王故章,王显松</t>
  </si>
  <si>
    <t>F950020610589437</t>
  </si>
  <si>
    <t>曾真华,罗绍斌</t>
  </si>
  <si>
    <t>F950022491527137</t>
  </si>
  <si>
    <t>王修贵</t>
  </si>
  <si>
    <t>徐世元,王修贵</t>
  </si>
  <si>
    <t>F950026318245911</t>
  </si>
  <si>
    <t>杨胜林</t>
  </si>
  <si>
    <t>F950026455902311</t>
  </si>
  <si>
    <t>钱友林</t>
  </si>
  <si>
    <t>F950027054964325</t>
  </si>
  <si>
    <t>王志章</t>
  </si>
  <si>
    <t>肖艳,王志章,王显荣,王显兴,王显财,王显发,王显大,王显旺</t>
  </si>
  <si>
    <t>F950028545902297</t>
  </si>
  <si>
    <t>饶忠凤</t>
  </si>
  <si>
    <t>王显国,饶忠凤</t>
  </si>
  <si>
    <t>F950030440276696</t>
  </si>
  <si>
    <t>刘加喜</t>
  </si>
  <si>
    <t>F950030580276608</t>
  </si>
  <si>
    <t>易富强</t>
  </si>
  <si>
    <t>易富强,王贵珍</t>
  </si>
  <si>
    <t>F950030802777415</t>
  </si>
  <si>
    <t>易林</t>
  </si>
  <si>
    <t>F950032372776999</t>
  </si>
  <si>
    <t>陈维燕</t>
  </si>
  <si>
    <t>F950033072777099</t>
  </si>
  <si>
    <t>马召前</t>
  </si>
  <si>
    <t>马召前,马承,段国平</t>
  </si>
  <si>
    <t>F950033941526682</t>
  </si>
  <si>
    <t>王显涛</t>
  </si>
  <si>
    <t>F950037198714444</t>
  </si>
  <si>
    <t>李元金</t>
  </si>
  <si>
    <t>F950038542464042</t>
  </si>
  <si>
    <t>周成兵</t>
  </si>
  <si>
    <t>周波,周成兵,任义英,周敏</t>
  </si>
  <si>
    <t>F950038626683078</t>
  </si>
  <si>
    <t>王文兴</t>
  </si>
  <si>
    <t>F950039808714604</t>
  </si>
  <si>
    <t>王洪章</t>
  </si>
  <si>
    <t>胡秀琼,王显婷,王思语,王洪章</t>
  </si>
  <si>
    <t>F950040030745748</t>
  </si>
  <si>
    <t>马召友</t>
  </si>
  <si>
    <t>F950040541214062</t>
  </si>
  <si>
    <t>王万根</t>
  </si>
  <si>
    <t>F950040861370433</t>
  </si>
  <si>
    <t>张大林</t>
  </si>
  <si>
    <t>张大林,陆光成</t>
  </si>
  <si>
    <t>F950042123401828</t>
  </si>
  <si>
    <t>王德才</t>
  </si>
  <si>
    <t>蒋家才,王德才,王显华</t>
  </si>
  <si>
    <t>F950043137151803</t>
  </si>
  <si>
    <t>雷定银</t>
  </si>
  <si>
    <t>雷定银,黄显友,雷强</t>
  </si>
  <si>
    <t>F950043186370873</t>
  </si>
  <si>
    <t>朱相万</t>
  </si>
  <si>
    <t>朱相万,易兰英,朱公培,聂红</t>
  </si>
  <si>
    <t>F950043221683493</t>
  </si>
  <si>
    <t>冯祖林</t>
  </si>
  <si>
    <t>卢开金,冯祖林,冯顺金</t>
  </si>
  <si>
    <t>F268552638190144</t>
  </si>
  <si>
    <t>麻央村委会</t>
  </si>
  <si>
    <t>周绍田</t>
  </si>
  <si>
    <t>周绍田,周大青,周佳瑶</t>
  </si>
  <si>
    <t>F288976163530488</t>
  </si>
  <si>
    <t>周大俊</t>
  </si>
  <si>
    <t>周大俊,唐英豪,周艳琼,杨才富</t>
  </si>
  <si>
    <t>F368477926661898</t>
  </si>
  <si>
    <t>欧光清</t>
  </si>
  <si>
    <t>欧光清,欧明杰</t>
  </si>
  <si>
    <t>F401058315357740</t>
  </si>
  <si>
    <t>龙昌发</t>
  </si>
  <si>
    <t>龙昌发,倪先琼</t>
  </si>
  <si>
    <t>F624366832984712</t>
  </si>
  <si>
    <t>熊光虎</t>
  </si>
  <si>
    <t>F630450419085808</t>
  </si>
  <si>
    <t>周铁</t>
  </si>
  <si>
    <t>周铁,周宇飞,周应富</t>
  </si>
  <si>
    <t>F945992077699275</t>
  </si>
  <si>
    <t>李浩东,牟玉容,李先奎</t>
  </si>
  <si>
    <t>F950012870589663</t>
  </si>
  <si>
    <t>周大光</t>
  </si>
  <si>
    <t>周大光,陈明友</t>
  </si>
  <si>
    <t>F950013056527163</t>
  </si>
  <si>
    <t>李埝华</t>
  </si>
  <si>
    <t>F950013615277653</t>
  </si>
  <si>
    <t>李光林</t>
  </si>
  <si>
    <t>F950014916995596</t>
  </si>
  <si>
    <t>罗乾玉</t>
  </si>
  <si>
    <t>F950015094183155</t>
  </si>
  <si>
    <t>王强</t>
  </si>
  <si>
    <t>黄素琼,王强,王林,王刚</t>
  </si>
  <si>
    <t>F950015552464147</t>
  </si>
  <si>
    <t>熊世富</t>
  </si>
  <si>
    <t>熊世富,邓昌林</t>
  </si>
  <si>
    <t>F950015761995919</t>
  </si>
  <si>
    <t>李贤云</t>
  </si>
  <si>
    <t>F950016526370898</t>
  </si>
  <si>
    <t>唐为云</t>
  </si>
  <si>
    <t>F950016856527308</t>
  </si>
  <si>
    <t>邓国英</t>
  </si>
  <si>
    <t>李鹏飞,李春燕,邓国英,李光银,黄玉兰</t>
  </si>
  <si>
    <t>F950024738089542</t>
  </si>
  <si>
    <t>朱公钱</t>
  </si>
  <si>
    <t>F950026474652151</t>
  </si>
  <si>
    <t>唐宗根</t>
  </si>
  <si>
    <t>唐宗根,祝贵珍</t>
  </si>
  <si>
    <t>F950026829183123</t>
  </si>
  <si>
    <t>周绪珍</t>
  </si>
  <si>
    <t>F950027131370666</t>
  </si>
  <si>
    <t>周成凯</t>
  </si>
  <si>
    <t>周成凯,周显富,莫永贵,周思婷</t>
  </si>
  <si>
    <t>F950028619026557</t>
  </si>
  <si>
    <t>陈兴贵</t>
  </si>
  <si>
    <t>徐婉倩,周显霞,陈兴贵,曾玉华</t>
  </si>
  <si>
    <t>F950028769808398</t>
  </si>
  <si>
    <t>王友正</t>
  </si>
  <si>
    <t>F950029032152195</t>
  </si>
  <si>
    <t>徐大友</t>
  </si>
  <si>
    <t>徐建,王明香,徐大友</t>
  </si>
  <si>
    <t>F950029068245581</t>
  </si>
  <si>
    <t>欧光堂</t>
  </si>
  <si>
    <t>欧光堂,欧明艺</t>
  </si>
  <si>
    <t>F950029905589605</t>
  </si>
  <si>
    <t>周成武</t>
  </si>
  <si>
    <t>曾光秀,周成武</t>
  </si>
  <si>
    <t>F950030654183223</t>
  </si>
  <si>
    <t>何树明</t>
  </si>
  <si>
    <t>F950032034183440</t>
  </si>
  <si>
    <t>周树会</t>
  </si>
  <si>
    <t>F950032200276632</t>
  </si>
  <si>
    <t>吴晓琴</t>
  </si>
  <si>
    <t>吴晓琴,钱佳灵</t>
  </si>
  <si>
    <t>F950034063870642</t>
  </si>
  <si>
    <t>余可金</t>
  </si>
  <si>
    <t>余可金,余平</t>
  </si>
  <si>
    <t>F950034804964639</t>
  </si>
  <si>
    <t>何全恩</t>
  </si>
  <si>
    <t>F950036159183140</t>
  </si>
  <si>
    <t>周成银</t>
  </si>
  <si>
    <t>付开容,周显利,周成银,周显兵,周雨涵</t>
  </si>
  <si>
    <t>F950036385276801</t>
  </si>
  <si>
    <t>周成定</t>
  </si>
  <si>
    <t>周成定,周成树,王小鹃,周冬梅,周巧慧</t>
  </si>
  <si>
    <t>F950037218714240</t>
  </si>
  <si>
    <t>唐昌权</t>
  </si>
  <si>
    <t>黄显珍,沈华,唐昌权,唐渝淇</t>
  </si>
  <si>
    <t>F950038406214670</t>
  </si>
  <si>
    <t>周成碧</t>
  </si>
  <si>
    <t>周成碧,王文芬</t>
  </si>
  <si>
    <t>F950038925902265</t>
  </si>
  <si>
    <t>廖庭宣</t>
  </si>
  <si>
    <t>廖庭宣,邓世琼,廖璐</t>
  </si>
  <si>
    <t>F950042373558192</t>
  </si>
  <si>
    <t>熊大友</t>
  </si>
  <si>
    <t>F950042832620610</t>
  </si>
  <si>
    <t>冯祖华</t>
  </si>
  <si>
    <t>F950044721058327</t>
  </si>
  <si>
    <t>杨沛六</t>
  </si>
  <si>
    <t>杨沛六,杨永付,杨旭</t>
  </si>
  <si>
    <t>F074899641674444</t>
  </si>
  <si>
    <t>太平村委会</t>
  </si>
  <si>
    <t>张光竹</t>
  </si>
  <si>
    <t>张光竹,张明登</t>
  </si>
  <si>
    <t>F090857152138169</t>
  </si>
  <si>
    <t>陈平安</t>
  </si>
  <si>
    <t>F463703445347979</t>
  </si>
  <si>
    <t>张明炯</t>
  </si>
  <si>
    <t>张明炯,唐宗凤</t>
  </si>
  <si>
    <t>F463708588247978</t>
  </si>
  <si>
    <t>张明东</t>
  </si>
  <si>
    <t>张明东,周明珍,张光锡</t>
  </si>
  <si>
    <t>F467204329193721</t>
  </si>
  <si>
    <t>杨定林</t>
  </si>
  <si>
    <t>杨定林,姚绍平</t>
  </si>
  <si>
    <t>F550809586361821</t>
  </si>
  <si>
    <t>白永明</t>
  </si>
  <si>
    <t>白平源,白永明</t>
  </si>
  <si>
    <t>F631631761354273</t>
  </si>
  <si>
    <t>牟泽琼</t>
  </si>
  <si>
    <t>张明福,张鹏,张一帆,牟泽琼</t>
  </si>
  <si>
    <t>F631638293902914</t>
  </si>
  <si>
    <t>曹义斌</t>
  </si>
  <si>
    <t>曹义斌,曹梦坤</t>
  </si>
  <si>
    <t>F724237143157438</t>
  </si>
  <si>
    <t>甄学熊</t>
  </si>
  <si>
    <t>甄梓涵,甄学武,甄学熊,甄强</t>
  </si>
  <si>
    <t>F806304330468439</t>
  </si>
  <si>
    <t>张小红</t>
  </si>
  <si>
    <t>张小红,张渝松,张渝艾</t>
  </si>
  <si>
    <t>F865946520126780</t>
  </si>
  <si>
    <t>曹修元</t>
  </si>
  <si>
    <t>曹羽霞,曹羽菲,曹亚兰,曹修元,曹亚琴</t>
  </si>
  <si>
    <t>F920955590719197</t>
  </si>
  <si>
    <t>王德文</t>
  </si>
  <si>
    <t>王德文,余贵分</t>
  </si>
  <si>
    <t>F949984005745568</t>
  </si>
  <si>
    <t>魏万明</t>
  </si>
  <si>
    <t>F949986131683578</t>
  </si>
  <si>
    <t>陈明华</t>
  </si>
  <si>
    <t>邓国珍,陈明华</t>
  </si>
  <si>
    <t>F950011617933025</t>
  </si>
  <si>
    <t>胡松连</t>
  </si>
  <si>
    <t>胡松连,张明科</t>
  </si>
  <si>
    <t>F950011799026645</t>
  </si>
  <si>
    <t>张光省</t>
  </si>
  <si>
    <t>张又文,张光省</t>
  </si>
  <si>
    <t>F950013119964143</t>
  </si>
  <si>
    <t>向国华</t>
  </si>
  <si>
    <t>向国华,黄宗华</t>
  </si>
  <si>
    <t>F950025926995570</t>
  </si>
  <si>
    <t>张光向</t>
  </si>
  <si>
    <t>张太双,蔡开富,张琼,杨朝连,张明俊,张光向</t>
  </si>
  <si>
    <t>F950026951058114</t>
  </si>
  <si>
    <t>张光国</t>
  </si>
  <si>
    <t>张明堂,张光国,朱素容</t>
  </si>
  <si>
    <t>F950029882151620</t>
  </si>
  <si>
    <t>曹家其</t>
  </si>
  <si>
    <t>曹诺,曹兴富,曹润华,曹家其,曹修利,张秀英</t>
  </si>
  <si>
    <t>F950029922464389</t>
  </si>
  <si>
    <t>王修文</t>
  </si>
  <si>
    <t>F950030396058193</t>
  </si>
  <si>
    <t>杨文修</t>
  </si>
  <si>
    <t>李云秀,杨锐,杨文修</t>
  </si>
  <si>
    <t>F950031007777241</t>
  </si>
  <si>
    <t>邓光银</t>
  </si>
  <si>
    <t>F950032854183267</t>
  </si>
  <si>
    <t>张光楷</t>
  </si>
  <si>
    <t>张光楷,吴会珍</t>
  </si>
  <si>
    <t>F950033178557997</t>
  </si>
  <si>
    <t>余中和</t>
  </si>
  <si>
    <t>余中和,余雪婷</t>
  </si>
  <si>
    <t>F950036892776615</t>
  </si>
  <si>
    <t>杨平修</t>
  </si>
  <si>
    <t>杨昆,杨平修</t>
  </si>
  <si>
    <t>F950037736371425</t>
  </si>
  <si>
    <t>张光伦</t>
  </si>
  <si>
    <t>张明根,余秀华,张光伦</t>
  </si>
  <si>
    <t>F950038536839734</t>
  </si>
  <si>
    <t>杨淑婷</t>
  </si>
  <si>
    <t>F950038901058083</t>
  </si>
  <si>
    <t>张明清</t>
  </si>
  <si>
    <t>张明清,杨显云</t>
  </si>
  <si>
    <t>F950041131995881</t>
  </si>
  <si>
    <t>周介</t>
  </si>
  <si>
    <t>周小青,周介</t>
  </si>
  <si>
    <t>F950043233714943</t>
  </si>
  <si>
    <t>王昌和</t>
  </si>
  <si>
    <t>王昌和,王德超,陈栋梁,王惠,王永健</t>
  </si>
  <si>
    <t>F950043949808317</t>
  </si>
  <si>
    <t>吴琼</t>
  </si>
  <si>
    <t>吴琼,何小平,何元梅</t>
  </si>
  <si>
    <t>F950044053401632</t>
  </si>
  <si>
    <t>周明友</t>
  </si>
  <si>
    <t>F969215276363977</t>
  </si>
  <si>
    <t>张松友</t>
  </si>
  <si>
    <t>张子萱,张欣宇,张松友,罗琼</t>
  </si>
  <si>
    <t>F975843189524705</t>
  </si>
  <si>
    <t>王兴槐</t>
  </si>
  <si>
    <t>薛钦文,王兴槐,张大秀,王昌玉</t>
  </si>
  <si>
    <t>F053947659049940</t>
  </si>
  <si>
    <t>新开村委会</t>
  </si>
  <si>
    <t>彭加强</t>
  </si>
  <si>
    <t>曹先凤,彭加强</t>
  </si>
  <si>
    <t>F238380894219891</t>
  </si>
  <si>
    <t>兰洪平</t>
  </si>
  <si>
    <t>F268775550954391</t>
  </si>
  <si>
    <t>王化容</t>
  </si>
  <si>
    <t>王可宇,王化容,曹燕</t>
  </si>
  <si>
    <t>F314032646540911</t>
  </si>
  <si>
    <t>唐胜宗</t>
  </si>
  <si>
    <t>王学云,唐胜宗,唐德刚</t>
  </si>
  <si>
    <t>F683315266272879</t>
  </si>
  <si>
    <t>彭荣武</t>
  </si>
  <si>
    <t>彭荣武,袁尚凤</t>
  </si>
  <si>
    <t>F934077853526332</t>
  </si>
  <si>
    <t>唐维来</t>
  </si>
  <si>
    <t>唐红梅,唐维来,曾淑华</t>
  </si>
  <si>
    <t>F950011369339901</t>
  </si>
  <si>
    <t>陈东华</t>
  </si>
  <si>
    <t>陈东华,陈羲同</t>
  </si>
  <si>
    <t>F950011519964354</t>
  </si>
  <si>
    <t>任忠富</t>
  </si>
  <si>
    <t>F950013165433232</t>
  </si>
  <si>
    <t>曹光厅</t>
  </si>
  <si>
    <t>曹颖,曹非妃,张国田,曹贵荣,曹光厅</t>
  </si>
  <si>
    <t>F950013455589501</t>
  </si>
  <si>
    <t>胡其光</t>
  </si>
  <si>
    <t>F950014432464584</t>
  </si>
  <si>
    <t>白永华</t>
  </si>
  <si>
    <t>白永华,白荣强,胡正琼</t>
  </si>
  <si>
    <t>F950014555589354</t>
  </si>
  <si>
    <t>胡克金</t>
  </si>
  <si>
    <t>F950015698401823</t>
  </si>
  <si>
    <t>陈民军</t>
  </si>
  <si>
    <t>陈民军,陈民法</t>
  </si>
  <si>
    <t>F950016517620667</t>
  </si>
  <si>
    <t>曹光林</t>
  </si>
  <si>
    <t>曹永旭,曹光林</t>
  </si>
  <si>
    <t>F950016654651727</t>
  </si>
  <si>
    <t>陈清华</t>
  </si>
  <si>
    <t>杨怀清,陈清华,陈艳琼</t>
  </si>
  <si>
    <t>F950018323714482</t>
  </si>
  <si>
    <t>杨森</t>
  </si>
  <si>
    <t>F950018445901939</t>
  </si>
  <si>
    <t>张勇</t>
  </si>
  <si>
    <t>F950018743714220</t>
  </si>
  <si>
    <t>程民书</t>
  </si>
  <si>
    <t>程民书,倪先红,程兵</t>
  </si>
  <si>
    <t>F950024508245750</t>
  </si>
  <si>
    <t>吴承举</t>
  </si>
  <si>
    <t>吴承举,吴甜馨,兰明香</t>
  </si>
  <si>
    <t>F950024672620627</t>
  </si>
  <si>
    <t>杨丽,杨元平</t>
  </si>
  <si>
    <t>F950025032464648</t>
  </si>
  <si>
    <t>罗斌</t>
  </si>
  <si>
    <t>罗斌,白泽珍,罗丽</t>
  </si>
  <si>
    <t>F950026244808060</t>
  </si>
  <si>
    <t>唐建农</t>
  </si>
  <si>
    <t>唐建农,唐岩,梅万明</t>
  </si>
  <si>
    <t>F950026861839046</t>
  </si>
  <si>
    <t>唐维畅</t>
  </si>
  <si>
    <t>徐学军,唐维畅</t>
  </si>
  <si>
    <t>F950027884027104</t>
  </si>
  <si>
    <t>胡克建</t>
  </si>
  <si>
    <t>F950028002620585</t>
  </si>
  <si>
    <t>张凤连</t>
  </si>
  <si>
    <t>F950028358870299</t>
  </si>
  <si>
    <t>唐维燮</t>
  </si>
  <si>
    <t>任贵珍,唐维燮,唐明宗</t>
  </si>
  <si>
    <t>F950029046058095</t>
  </si>
  <si>
    <t>唐德贵</t>
  </si>
  <si>
    <t>F950029079808208</t>
  </si>
  <si>
    <t>彭荣枢</t>
  </si>
  <si>
    <t>杨明容,彭荣枢</t>
  </si>
  <si>
    <t>F950029201214603</t>
  </si>
  <si>
    <t>罗显秀</t>
  </si>
  <si>
    <t>罗显秀,胡克非</t>
  </si>
  <si>
    <t>F950029790276986</t>
  </si>
  <si>
    <t>杨友斌</t>
  </si>
  <si>
    <t>杨友斌,魏仁英</t>
  </si>
  <si>
    <t>F950029822620497</t>
  </si>
  <si>
    <t>程光兴</t>
  </si>
  <si>
    <t>F950030678245737</t>
  </si>
  <si>
    <t>罗启根</t>
  </si>
  <si>
    <t>杨天圻,胡敬元,杨娇,罗启根</t>
  </si>
  <si>
    <t>F950030827933503</t>
  </si>
  <si>
    <t>陈修云</t>
  </si>
  <si>
    <t>陈修云,陈明东,胡平</t>
  </si>
  <si>
    <t>F950031037620596</t>
  </si>
  <si>
    <t>彭佳勤</t>
  </si>
  <si>
    <t>彭佳勤,张雅歌</t>
  </si>
  <si>
    <t>F950031748402022</t>
  </si>
  <si>
    <t>彭荣康</t>
  </si>
  <si>
    <t>彭荣康,潘明珍,彭仲清</t>
  </si>
  <si>
    <t>F950032216683141</t>
  </si>
  <si>
    <t>杨显华</t>
  </si>
  <si>
    <t>黄安学,杨显华</t>
  </si>
  <si>
    <t>F950032635745799</t>
  </si>
  <si>
    <t>胡其秀</t>
  </si>
  <si>
    <t>F950032780589050</t>
  </si>
  <si>
    <t>曹书华</t>
  </si>
  <si>
    <t>F950033784339476</t>
  </si>
  <si>
    <t>杨应珍</t>
  </si>
  <si>
    <t>F950034066839321</t>
  </si>
  <si>
    <t>杨友方</t>
  </si>
  <si>
    <t>F950034371214526</t>
  </si>
  <si>
    <t>杨廷修</t>
  </si>
  <si>
    <t>张光明,杨廷修</t>
  </si>
  <si>
    <t>F950034651527136</t>
  </si>
  <si>
    <t>杨显林</t>
  </si>
  <si>
    <t>杨显林,唐思贵</t>
  </si>
  <si>
    <t>F950034678870512</t>
  </si>
  <si>
    <t>胡其宣</t>
  </si>
  <si>
    <t>F950035002933130</t>
  </si>
  <si>
    <t>唐维茂</t>
  </si>
  <si>
    <t>唐维茂,唐铭</t>
  </si>
  <si>
    <t>F950036009808231</t>
  </si>
  <si>
    <t>王福盛</t>
  </si>
  <si>
    <t>王福盛,王操</t>
  </si>
  <si>
    <t>F950036280277035</t>
  </si>
  <si>
    <t>王小红</t>
  </si>
  <si>
    <t>彭杰,彭萍,王小红</t>
  </si>
  <si>
    <t>F950037022620582</t>
  </si>
  <si>
    <t>唐维绪</t>
  </si>
  <si>
    <t>唐维绪,钟世群</t>
  </si>
  <si>
    <t>F950037120902439</t>
  </si>
  <si>
    <t>杨显银</t>
  </si>
  <si>
    <t>王丁秀,杨显银</t>
  </si>
  <si>
    <t>F950037746370295</t>
  </si>
  <si>
    <t>陈清晒</t>
  </si>
  <si>
    <t>陈清晒,陈晒洪</t>
  </si>
  <si>
    <t>F950038473401979</t>
  </si>
  <si>
    <t>曹光书</t>
  </si>
  <si>
    <t>F950040127464377</t>
  </si>
  <si>
    <t>唐宗明</t>
  </si>
  <si>
    <t>袁德贵,唐德斌,唐宗明</t>
  </si>
  <si>
    <t>F950040374339899</t>
  </si>
  <si>
    <t>杨福珍</t>
  </si>
  <si>
    <t>F950040422620338</t>
  </si>
  <si>
    <t>黄元奎</t>
  </si>
  <si>
    <t>F950040840589886</t>
  </si>
  <si>
    <t>陈民志</t>
  </si>
  <si>
    <t>陈民全,陈民志</t>
  </si>
  <si>
    <t>F950041161527277</t>
  </si>
  <si>
    <t>唐锐</t>
  </si>
  <si>
    <t>唐锐,唐涌鑫</t>
  </si>
  <si>
    <t>F950042322620573</t>
  </si>
  <si>
    <t>张加才,周成银</t>
  </si>
  <si>
    <t>F950042710902219</t>
  </si>
  <si>
    <t>唐德明</t>
  </si>
  <si>
    <t>唐德明,倪昔树</t>
  </si>
  <si>
    <t>F950043008714053</t>
  </si>
  <si>
    <t>许修连</t>
  </si>
  <si>
    <t>F950044011995612</t>
  </si>
  <si>
    <t>胡立志</t>
  </si>
  <si>
    <t>F063043877723851</t>
  </si>
  <si>
    <t>乐园村委会</t>
  </si>
  <si>
    <t>杨显贵</t>
  </si>
  <si>
    <t>F263930447057559</t>
  </si>
  <si>
    <t>胡敬才</t>
  </si>
  <si>
    <t>朱近明,胡敬才</t>
  </si>
  <si>
    <t>F298030397403211</t>
  </si>
  <si>
    <t>胡敏</t>
  </si>
  <si>
    <t>F604359878694064</t>
  </si>
  <si>
    <t>胡其运</t>
  </si>
  <si>
    <t>F655548082379051</t>
  </si>
  <si>
    <t>黄家海</t>
  </si>
  <si>
    <t>黄家海,郑学勤,黄旭江</t>
  </si>
  <si>
    <t>F711422033662371</t>
  </si>
  <si>
    <t>黄家贵</t>
  </si>
  <si>
    <t>F934076609775959</t>
  </si>
  <si>
    <t>许其平</t>
  </si>
  <si>
    <t>F948382957458164</t>
  </si>
  <si>
    <t>彭远家</t>
  </si>
  <si>
    <t>彭宇琛,彭远家,胡克英,彭强,王翠琴,彭宇轩</t>
  </si>
  <si>
    <t>F949982192620966</t>
  </si>
  <si>
    <t>金万英</t>
  </si>
  <si>
    <t>余忠晏,余金胡,金万英</t>
  </si>
  <si>
    <t>F949982484183220</t>
  </si>
  <si>
    <t>胡小勤</t>
  </si>
  <si>
    <t>申时翠,胡小勤,王元贵</t>
  </si>
  <si>
    <t>F949990326214509</t>
  </si>
  <si>
    <t>吴世军</t>
  </si>
  <si>
    <t>吴清华,吴世军</t>
  </si>
  <si>
    <t>F950011707152390</t>
  </si>
  <si>
    <t>胡克树</t>
  </si>
  <si>
    <t>F950013640276975</t>
  </si>
  <si>
    <t>胡其生</t>
  </si>
  <si>
    <t>胡其生,胡剑</t>
  </si>
  <si>
    <t>F950014320433343</t>
  </si>
  <si>
    <t>胡其好</t>
  </si>
  <si>
    <t>F950020497620619</t>
  </si>
  <si>
    <t>邓国琼</t>
  </si>
  <si>
    <t>F950022571058416</t>
  </si>
  <si>
    <t>胡福英</t>
  </si>
  <si>
    <t>F950026589808167</t>
  </si>
  <si>
    <t>程光福</t>
  </si>
  <si>
    <t>F950026727464465</t>
  </si>
  <si>
    <t>胡克元</t>
  </si>
  <si>
    <t>张梓睿,张国贵,胡克元,胡群,张雨欣</t>
  </si>
  <si>
    <t>F950026756370261</t>
  </si>
  <si>
    <t>张太珍</t>
  </si>
  <si>
    <t>范会方,张太珍,范鑫宇</t>
  </si>
  <si>
    <t>F950026777151554</t>
  </si>
  <si>
    <t>陈明安</t>
  </si>
  <si>
    <t>F950030891526802</t>
  </si>
  <si>
    <t>胡元山</t>
  </si>
  <si>
    <t>F950030944964384</t>
  </si>
  <si>
    <t>吴高勤</t>
  </si>
  <si>
    <t>曹正香,吴高勤,曹俐红</t>
  </si>
  <si>
    <t>F950031930433148</t>
  </si>
  <si>
    <t>王学明</t>
  </si>
  <si>
    <t>F950032679651734</t>
  </si>
  <si>
    <t>刘凤云</t>
  </si>
  <si>
    <t>刘晓林,刘凤云,张秀芳</t>
  </si>
  <si>
    <t>F950032715120652</t>
  </si>
  <si>
    <t>席立树</t>
  </si>
  <si>
    <t>陈明芳,席立树,席小林,唐洛茜</t>
  </si>
  <si>
    <t>F950032845276919</t>
  </si>
  <si>
    <t>张太明</t>
  </si>
  <si>
    <t>刘凤英,张太明</t>
  </si>
  <si>
    <t>F950034057776518</t>
  </si>
  <si>
    <t>胡其戈</t>
  </si>
  <si>
    <t>胡其戈,胡磊</t>
  </si>
  <si>
    <t>F950034532933973</t>
  </si>
  <si>
    <t>胡其金</t>
  </si>
  <si>
    <t>F950034627308176</t>
  </si>
  <si>
    <t>张光友</t>
  </si>
  <si>
    <t>F950035045746012</t>
  </si>
  <si>
    <t>胡克书</t>
  </si>
  <si>
    <t>胡克书,张丽,熊明德</t>
  </si>
  <si>
    <t>F950036228401755</t>
  </si>
  <si>
    <t>胡克宣</t>
  </si>
  <si>
    <t>汪成君,胡克宣,胡敬,蔡庆云</t>
  </si>
  <si>
    <t>F950038332621058</t>
  </si>
  <si>
    <t>胡克平</t>
  </si>
  <si>
    <t>胡克平,王连珍,胡克容</t>
  </si>
  <si>
    <t>F950038401215021</t>
  </si>
  <si>
    <t>郭贻琼</t>
  </si>
  <si>
    <t>周旗,郭贻琼,白雨晴</t>
  </si>
  <si>
    <t>F950038589652187</t>
  </si>
  <si>
    <t>黄宗芝</t>
  </si>
  <si>
    <t>F950038634964504</t>
  </si>
  <si>
    <t>魏登贵</t>
  </si>
  <si>
    <t>F950041896058448</t>
  </si>
  <si>
    <t>薛银凤</t>
  </si>
  <si>
    <t>F950042778870359</t>
  </si>
  <si>
    <t>唐正尧</t>
  </si>
  <si>
    <t>唐正尧,杨智,唐晓玲</t>
  </si>
  <si>
    <t>F972738610260076</t>
  </si>
  <si>
    <t>胡其元</t>
  </si>
  <si>
    <t>F006125939964455</t>
  </si>
  <si>
    <t>石碑村委会</t>
  </si>
  <si>
    <t>周显珍</t>
  </si>
  <si>
    <t>周显珍,曹桂芳</t>
  </si>
  <si>
    <t>F067313709723656</t>
  </si>
  <si>
    <t>黄显强</t>
  </si>
  <si>
    <t>黄显强,张宗裕</t>
  </si>
  <si>
    <t>F091499380419561</t>
  </si>
  <si>
    <t>彭明安</t>
  </si>
  <si>
    <t>彭德华,彭明安,彭雅琪</t>
  </si>
  <si>
    <t>F091501349795391</t>
  </si>
  <si>
    <t>杨华成</t>
  </si>
  <si>
    <t>杨华成,唐宗容,杨久奎,杨胤祥,杨金堰</t>
  </si>
  <si>
    <t>F131761048105866</t>
  </si>
  <si>
    <t>胡梦婷</t>
  </si>
  <si>
    <t>F131767755597828</t>
  </si>
  <si>
    <t>马顺伦</t>
  </si>
  <si>
    <t>马筱雅,马涛,马梓豪,马顺伦,胡全芬,田昭燕</t>
  </si>
  <si>
    <t>F227149155870050</t>
  </si>
  <si>
    <t>熊光海</t>
  </si>
  <si>
    <t>F260212143608138</t>
  </si>
  <si>
    <t>胡克会</t>
  </si>
  <si>
    <t>F268735580501454</t>
  </si>
  <si>
    <t>周军树</t>
  </si>
  <si>
    <t>周军树,曹加会</t>
  </si>
  <si>
    <t>F314038252354380</t>
  </si>
  <si>
    <t>何兴高</t>
  </si>
  <si>
    <t>何成富,何兴高</t>
  </si>
  <si>
    <t>F314041155364623</t>
  </si>
  <si>
    <t>马长英</t>
  </si>
  <si>
    <t>F361273082099549</t>
  </si>
  <si>
    <t>彭德和</t>
  </si>
  <si>
    <t>彭德和,彭升科,杨本珍,彭明会,蒲四珍,彭福君</t>
  </si>
  <si>
    <t>F377841833153383</t>
  </si>
  <si>
    <t>文致俊</t>
  </si>
  <si>
    <t>F409019953074688</t>
  </si>
  <si>
    <t>周显忠</t>
  </si>
  <si>
    <t>周秋宏,周显忠</t>
  </si>
  <si>
    <t>F538846525207448</t>
  </si>
  <si>
    <t>向安友</t>
  </si>
  <si>
    <t>F548259971101799</t>
  </si>
  <si>
    <t>胡文兵</t>
  </si>
  <si>
    <t>胡文兵,胡忠义,胡星莲,李欣洋,李秀琴</t>
  </si>
  <si>
    <t>F569800526675143</t>
  </si>
  <si>
    <t>宋长清</t>
  </si>
  <si>
    <t>宋清平,宋良才,马顺现,杨德秀,宋长清</t>
  </si>
  <si>
    <t>F630446296742044</t>
  </si>
  <si>
    <t>熊明士</t>
  </si>
  <si>
    <t>曹光珍,熊明士,熊蒙鑫</t>
  </si>
  <si>
    <t>F631680503561131</t>
  </si>
  <si>
    <t>宋江</t>
  </si>
  <si>
    <t>曹修成,宋江,赖学辰,唐燕,宋承睿</t>
  </si>
  <si>
    <t>F631687091998375</t>
  </si>
  <si>
    <t>宋万富</t>
  </si>
  <si>
    <t>彭明珍,宋万富,宋代友</t>
  </si>
  <si>
    <t>F631690547799937</t>
  </si>
  <si>
    <t>杨远飞</t>
  </si>
  <si>
    <t>F643138709203576</t>
  </si>
  <si>
    <t>金万成</t>
  </si>
  <si>
    <t>金万成,罗家树</t>
  </si>
  <si>
    <t>F711149535879657</t>
  </si>
  <si>
    <t>唐银珍</t>
  </si>
  <si>
    <t>F724684023824968</t>
  </si>
  <si>
    <t>唐光银</t>
  </si>
  <si>
    <t>唐光银,唐凯</t>
  </si>
  <si>
    <t>F895842822312006</t>
  </si>
  <si>
    <t>胡全伍</t>
  </si>
  <si>
    <t>胡全伍,胡南君</t>
  </si>
  <si>
    <t>F895845817899864</t>
  </si>
  <si>
    <t>张太祝</t>
  </si>
  <si>
    <t>曹修金,曹宇豪,张太祝</t>
  </si>
  <si>
    <t>F934077868369690</t>
  </si>
  <si>
    <t>刘泽金</t>
  </si>
  <si>
    <t>刘平,刘泽金,刘媛媛,刘艳</t>
  </si>
  <si>
    <t>F934078112275911</t>
  </si>
  <si>
    <t>张代贵</t>
  </si>
  <si>
    <t>熊利萍,张代贵,张熊</t>
  </si>
  <si>
    <t>F949984427932890</t>
  </si>
  <si>
    <t>胡玉珍</t>
  </si>
  <si>
    <t>F950009685432931</t>
  </si>
  <si>
    <t>彭德厚</t>
  </si>
  <si>
    <t>彭广刚,彭德厚,周淑兰</t>
  </si>
  <si>
    <t>F950013383089463</t>
  </si>
  <si>
    <t>胡进全</t>
  </si>
  <si>
    <t>邓明会,胡小红,胡燕华,胡进全</t>
  </si>
  <si>
    <t>F950014459495817</t>
  </si>
  <si>
    <t>杨久远</t>
  </si>
  <si>
    <t>杨久远,杨琪,李旭基</t>
  </si>
  <si>
    <t>F950015119652219</t>
  </si>
  <si>
    <t>周显学</t>
  </si>
  <si>
    <t>周显学,曾仁秀,周德林,周小珊</t>
  </si>
  <si>
    <t>F950015281683255</t>
  </si>
  <si>
    <t>马贤宣</t>
  </si>
  <si>
    <t>马贤宣,马骏伟,胡全贵</t>
  </si>
  <si>
    <t>F950015643089323</t>
  </si>
  <si>
    <t>杨良贵,彭德金</t>
  </si>
  <si>
    <t>F950016641057938</t>
  </si>
  <si>
    <t>杨玉光</t>
  </si>
  <si>
    <t>F950016829964406</t>
  </si>
  <si>
    <t>彭明章</t>
  </si>
  <si>
    <t>彭明章,郑别秀,彭德友</t>
  </si>
  <si>
    <t>F950018746839812</t>
  </si>
  <si>
    <t>周成现</t>
  </si>
  <si>
    <t>F950022518401838</t>
  </si>
  <si>
    <t>肖克珍</t>
  </si>
  <si>
    <t>胡露源,肖克珍,胡其云</t>
  </si>
  <si>
    <t>F950022588870666</t>
  </si>
  <si>
    <t>黄光明</t>
  </si>
  <si>
    <t>黄光明,曹兴华</t>
  </si>
  <si>
    <t>F950022771058691</t>
  </si>
  <si>
    <t>黄安富</t>
  </si>
  <si>
    <t>黄安富,黄柳,黄定平,彭开珍,李富荣,黄琳</t>
  </si>
  <si>
    <t>F950024743089255</t>
  </si>
  <si>
    <t>杨久国</t>
  </si>
  <si>
    <t>杨久国,欧显思</t>
  </si>
  <si>
    <t>F950025074495670</t>
  </si>
  <si>
    <t>吕天华</t>
  </si>
  <si>
    <t>F950025899651642</t>
  </si>
  <si>
    <t>欧光荣</t>
  </si>
  <si>
    <t>曹林虎,曹加芝,欧光荣</t>
  </si>
  <si>
    <t>F950026025902055</t>
  </si>
  <si>
    <t>张中贵</t>
  </si>
  <si>
    <t>周大香,张中贵,张建</t>
  </si>
  <si>
    <t>F950026236839307</t>
  </si>
  <si>
    <t>张国友</t>
  </si>
  <si>
    <t>张国友,颜书珍,张秋晨,张兴燕</t>
  </si>
  <si>
    <t>F950028103245673</t>
  </si>
  <si>
    <t>王光华</t>
  </si>
  <si>
    <t>王鸿玉,王光华,金安珍,王东友</t>
  </si>
  <si>
    <t>F950028436058294</t>
  </si>
  <si>
    <t>胡克荣</t>
  </si>
  <si>
    <t>闫远秀,胡进才,胡克荣</t>
  </si>
  <si>
    <t>F950028511683053</t>
  </si>
  <si>
    <t>彭开由</t>
  </si>
  <si>
    <t>彭明顺,彭开由,熊明英,杨凤,彭明发</t>
  </si>
  <si>
    <t>F950032062620435</t>
  </si>
  <si>
    <t>彭开伍</t>
  </si>
  <si>
    <t>F950032366527251</t>
  </si>
  <si>
    <t>唐正秀</t>
  </si>
  <si>
    <t>蔺文元,唐正秀,蔺成富,彭波,蔺成财</t>
  </si>
  <si>
    <t>F950032894026990</t>
  </si>
  <si>
    <t>杨树强</t>
  </si>
  <si>
    <t>杨馥嘉,杨树强,杨益群</t>
  </si>
  <si>
    <t>F950034305433196</t>
  </si>
  <si>
    <t>周成英</t>
  </si>
  <si>
    <t>F950034949339846</t>
  </si>
  <si>
    <t>曹修奎</t>
  </si>
  <si>
    <t>曹修奎,杜永琼,曹先秀</t>
  </si>
  <si>
    <t>F950036028714039</t>
  </si>
  <si>
    <t>彭明贵</t>
  </si>
  <si>
    <t>彭明贵,萧勇</t>
  </si>
  <si>
    <t>F950036382464388</t>
  </si>
  <si>
    <t>杨久江</t>
  </si>
  <si>
    <t>余启俊,杨久江</t>
  </si>
  <si>
    <t>F950037019339607</t>
  </si>
  <si>
    <t>彭明银</t>
  </si>
  <si>
    <t>彭明银,魏兴芝,彭佳祥</t>
  </si>
  <si>
    <t>F950038024651755</t>
  </si>
  <si>
    <t>周显光</t>
  </si>
  <si>
    <t>F950038062777110</t>
  </si>
  <si>
    <t>向继开</t>
  </si>
  <si>
    <t>向继开,向安海</t>
  </si>
  <si>
    <t>F950039224964378</t>
  </si>
  <si>
    <t>曹修和</t>
  </si>
  <si>
    <t>F950039236995786</t>
  </si>
  <si>
    <t>莫德容</t>
  </si>
  <si>
    <t>莫德容,胡良英,干金术</t>
  </si>
  <si>
    <t>F950040199495634</t>
  </si>
  <si>
    <t>熊光田</t>
  </si>
  <si>
    <t>杨正峨,熊光田,熊小东</t>
  </si>
  <si>
    <t>F950040245745639</t>
  </si>
  <si>
    <t>胡翔宇</t>
  </si>
  <si>
    <t>F950040800121062</t>
  </si>
  <si>
    <t>宋年山</t>
  </si>
  <si>
    <t>宋年山,彭开秀</t>
  </si>
  <si>
    <t>F950041143558081</t>
  </si>
  <si>
    <t>胡进报</t>
  </si>
  <si>
    <t>罗旭梅,胡忆,胡大洺,胡芮鑫,徐加秀,胡进报</t>
  </si>
  <si>
    <t>F950043127933179</t>
  </si>
  <si>
    <t>胡其寿</t>
  </si>
  <si>
    <t>F950044671527226</t>
  </si>
  <si>
    <t>车国荣</t>
  </si>
  <si>
    <t>车昊,车国荣,杨远会</t>
  </si>
  <si>
    <t>F950044674495561</t>
  </si>
  <si>
    <t>宋良珍</t>
  </si>
  <si>
    <t>胡运华,胡文才,宋良珍</t>
  </si>
  <si>
    <t>F975805705091161</t>
  </si>
  <si>
    <t>周显清</t>
  </si>
  <si>
    <t>熊光池,周显清</t>
  </si>
  <si>
    <t>F975816444251090</t>
  </si>
  <si>
    <t>张大富</t>
  </si>
  <si>
    <t>张大富,胡其珍</t>
  </si>
  <si>
    <t>F005958146995945</t>
  </si>
  <si>
    <t>禾加村委会</t>
  </si>
  <si>
    <t>彭远东</t>
  </si>
  <si>
    <t>F022800008192656</t>
  </si>
  <si>
    <t>倪念银</t>
  </si>
  <si>
    <t>F022803933170377</t>
  </si>
  <si>
    <t>陈明强</t>
  </si>
  <si>
    <t>陈明强,莫之贵</t>
  </si>
  <si>
    <t>F022809282010827</t>
  </si>
  <si>
    <t>张吕富</t>
  </si>
  <si>
    <t>F194465651742670</t>
  </si>
  <si>
    <t>李光洪</t>
  </si>
  <si>
    <t>李勇志,王兴兰,李光洪,李金其</t>
  </si>
  <si>
    <t>F245300521283561</t>
  </si>
  <si>
    <t>张永林</t>
  </si>
  <si>
    <t>F264171871589284</t>
  </si>
  <si>
    <t>王华珍</t>
  </si>
  <si>
    <t>F297176629593601</t>
  </si>
  <si>
    <t>窦小平</t>
  </si>
  <si>
    <t>F314047158336414</t>
  </si>
  <si>
    <t>姚启树</t>
  </si>
  <si>
    <t>姚启树,姚文元,姚文豪</t>
  </si>
  <si>
    <t>F401061366724829</t>
  </si>
  <si>
    <t>姚文琴</t>
  </si>
  <si>
    <t>罗志全,罗帘佳,罗雨琴,罗岑羽,姚文琴</t>
  </si>
  <si>
    <t>F401636133023681</t>
  </si>
  <si>
    <t>唐自梯</t>
  </si>
  <si>
    <t>唐自梯,唐国钊,云彩贵</t>
  </si>
  <si>
    <t>F548248116371796</t>
  </si>
  <si>
    <t>陈永清</t>
  </si>
  <si>
    <t>陈永清,陈廷海</t>
  </si>
  <si>
    <t>F548250834271795</t>
  </si>
  <si>
    <t>何仕康</t>
  </si>
  <si>
    <t>何仕康,何雨希,陈廷会,何峪葵</t>
  </si>
  <si>
    <t>F548255917021852</t>
  </si>
  <si>
    <t>倪昔伍</t>
  </si>
  <si>
    <t>倪仁权,倪昔伍,倪小勤,宋再珍</t>
  </si>
  <si>
    <t>F550295155974150</t>
  </si>
  <si>
    <t>李自军</t>
  </si>
  <si>
    <t>余华平,李自军,李俊宏</t>
  </si>
  <si>
    <t>F604348135725290</t>
  </si>
  <si>
    <t>陈清恩</t>
  </si>
  <si>
    <t>闰安银,陈清恩</t>
  </si>
  <si>
    <t>F631666041832498</t>
  </si>
  <si>
    <t>倪昔荣</t>
  </si>
  <si>
    <t>F920988021522566</t>
  </si>
  <si>
    <t>胡心如</t>
  </si>
  <si>
    <t>F936073262048514</t>
  </si>
  <si>
    <t>窦永忠</t>
  </si>
  <si>
    <t>窦永忠,窦慧学</t>
  </si>
  <si>
    <t>F949982062152085</t>
  </si>
  <si>
    <t>何春</t>
  </si>
  <si>
    <t>何春,何瑜涵</t>
  </si>
  <si>
    <t>F949984270120667</t>
  </si>
  <si>
    <t>黄林</t>
  </si>
  <si>
    <t>陈文秀,黄林,黄显林</t>
  </si>
  <si>
    <t>F949989990746041</t>
  </si>
  <si>
    <t>陈清国</t>
  </si>
  <si>
    <t>陈明凯,陈清国,唐学梅</t>
  </si>
  <si>
    <t>F950009611058569</t>
  </si>
  <si>
    <t>陈廷英</t>
  </si>
  <si>
    <t>王治兵,陈廷英</t>
  </si>
  <si>
    <t>F950011326839504</t>
  </si>
  <si>
    <t>周大贵</t>
  </si>
  <si>
    <t>F950011654182915</t>
  </si>
  <si>
    <t>聂国兴</t>
  </si>
  <si>
    <t>聂玲,聂江萍,聂国兴,杨胜明,吴晓红,聂正旭</t>
  </si>
  <si>
    <t>F950013185589472</t>
  </si>
  <si>
    <t>钟义贤</t>
  </si>
  <si>
    <t>窦学东,钟义贤</t>
  </si>
  <si>
    <t>F950014398089569</t>
  </si>
  <si>
    <t>窦际平</t>
  </si>
  <si>
    <t>F950014509651854</t>
  </si>
  <si>
    <t>唐昌银</t>
  </si>
  <si>
    <t>唐昌银,陈明珍,唐连君</t>
  </si>
  <si>
    <t>F950015504339524</t>
  </si>
  <si>
    <t>程光明</t>
  </si>
  <si>
    <t>F950016391370428</t>
  </si>
  <si>
    <t>翁明富</t>
  </si>
  <si>
    <t>F950018305745732</t>
  </si>
  <si>
    <t>邓仕芬</t>
  </si>
  <si>
    <t>F950018349964925</t>
  </si>
  <si>
    <t>张金华</t>
  </si>
  <si>
    <t>F950018602621027</t>
  </si>
  <si>
    <t>曹加文</t>
  </si>
  <si>
    <t>李思呈,李营好,曹加文,李治林</t>
  </si>
  <si>
    <t>F950020452308239</t>
  </si>
  <si>
    <t>倪先才</t>
  </si>
  <si>
    <t>倪先才,陈明述,倪俊</t>
  </si>
  <si>
    <t>F950022686058293</t>
  </si>
  <si>
    <t>兰明杰</t>
  </si>
  <si>
    <t>兰明杰,张志明</t>
  </si>
  <si>
    <t>F950024246057934</t>
  </si>
  <si>
    <t>黄明凯</t>
  </si>
  <si>
    <t>张永明,张惠蓉,黄显琼,张家荣,窦成林,黄明凯</t>
  </si>
  <si>
    <t>F950024823089695</t>
  </si>
  <si>
    <t>魏富平</t>
  </si>
  <si>
    <t>陈艳,魏富平,陈小容</t>
  </si>
  <si>
    <t>F950024967151515</t>
  </si>
  <si>
    <t>何友恩</t>
  </si>
  <si>
    <t>何士康,何友恩</t>
  </si>
  <si>
    <t>F950026759651840</t>
  </si>
  <si>
    <t>唐自田</t>
  </si>
  <si>
    <t>F950027839495353</t>
  </si>
  <si>
    <t>王用平</t>
  </si>
  <si>
    <t>F950027958402160</t>
  </si>
  <si>
    <t>何梦希</t>
  </si>
  <si>
    <t>何梦希,何福恩</t>
  </si>
  <si>
    <t>F950028188714533</t>
  </si>
  <si>
    <t>陈廷超</t>
  </si>
  <si>
    <t>陈廷超,陈世冬</t>
  </si>
  <si>
    <t>F950028577464421</t>
  </si>
  <si>
    <t>唐思才</t>
  </si>
  <si>
    <t>F950028706214226</t>
  </si>
  <si>
    <t>唐先荣</t>
  </si>
  <si>
    <t>唐先荣,李成英</t>
  </si>
  <si>
    <t>F950030311370505</t>
  </si>
  <si>
    <t>杨英</t>
  </si>
  <si>
    <t>杨英,李洲,李云逸</t>
  </si>
  <si>
    <t>F950032955277046</t>
  </si>
  <si>
    <t>陈明介</t>
  </si>
  <si>
    <t>张顺清,张秋洁,陈明介</t>
  </si>
  <si>
    <t>F950035905276946</t>
  </si>
  <si>
    <t>彭明相</t>
  </si>
  <si>
    <t>彭玉霞,彭明相</t>
  </si>
  <si>
    <t>F950038409027572</t>
  </si>
  <si>
    <t>倪凯</t>
  </si>
  <si>
    <t>倪凯,倪先海</t>
  </si>
  <si>
    <t>F950039183245648</t>
  </si>
  <si>
    <t>唐昌贵</t>
  </si>
  <si>
    <t>唐琴,唐昌贵,唐倩</t>
  </si>
  <si>
    <t>F950039796527230</t>
  </si>
  <si>
    <t>唐先进</t>
  </si>
  <si>
    <t>F950042914652572</t>
  </si>
  <si>
    <t>张淑容</t>
  </si>
  <si>
    <t>F950044070590028</t>
  </si>
  <si>
    <t>李德安</t>
  </si>
  <si>
    <t>李德安,李光容</t>
  </si>
  <si>
    <t>F972712780483496</t>
  </si>
  <si>
    <t>王廷友</t>
  </si>
  <si>
    <t>王生涛,满道鲜,王廷友</t>
  </si>
  <si>
    <t>F994777275433528</t>
  </si>
  <si>
    <t>陈科霖</t>
  </si>
  <si>
    <t>F267918744235163</t>
  </si>
  <si>
    <t>金盆村委会</t>
  </si>
  <si>
    <t>陈文玖</t>
  </si>
  <si>
    <t>陈雪梅,陈小彬,王贵珍,陈文玖</t>
  </si>
  <si>
    <t>F297980053184917</t>
  </si>
  <si>
    <t>陈文品</t>
  </si>
  <si>
    <t>F368463071193097</t>
  </si>
  <si>
    <t>陈明珍</t>
  </si>
  <si>
    <t>李亭橼,陈明珍</t>
  </si>
  <si>
    <t>F601204328744288</t>
  </si>
  <si>
    <t>钱朝光</t>
  </si>
  <si>
    <t>钱朝光,钱海瑞</t>
  </si>
  <si>
    <t>F604366488694208</t>
  </si>
  <si>
    <t>邓国平</t>
  </si>
  <si>
    <t>F715003282578402</t>
  </si>
  <si>
    <t>欧明琼</t>
  </si>
  <si>
    <t>张德秀,欧明琼</t>
  </si>
  <si>
    <t>F765365780378969</t>
  </si>
  <si>
    <t>吕云清</t>
  </si>
  <si>
    <t>吕云清,邓仕才</t>
  </si>
  <si>
    <t>F766285583727979</t>
  </si>
  <si>
    <t>张永兰</t>
  </si>
  <si>
    <t>F920960195291105</t>
  </si>
  <si>
    <t>陈朝金</t>
  </si>
  <si>
    <t>陈红旭,陈朝金</t>
  </si>
  <si>
    <t>F920964894590221</t>
  </si>
  <si>
    <t>王永高</t>
  </si>
  <si>
    <t>吕小春,王永高,吕天成</t>
  </si>
  <si>
    <t>F920990491747995</t>
  </si>
  <si>
    <t>李宽金</t>
  </si>
  <si>
    <t>F945890082522394</t>
  </si>
  <si>
    <t>聂世平</t>
  </si>
  <si>
    <t>F950009671370864</t>
  </si>
  <si>
    <t>陈文银</t>
  </si>
  <si>
    <t>F950009730120407</t>
  </si>
  <si>
    <t>王治树</t>
  </si>
  <si>
    <t>王鹏,廖贵伦,王治树,邹品荣</t>
  </si>
  <si>
    <t>F950013606526667</t>
  </si>
  <si>
    <t>陶通炳</t>
  </si>
  <si>
    <t>陶通炳,陶光友,朱发芝,陶光秀</t>
  </si>
  <si>
    <t>F950013788401675</t>
  </si>
  <si>
    <t>黄显平</t>
  </si>
  <si>
    <t>黄显平,陈绍杨,周莲</t>
  </si>
  <si>
    <t>F950014756683140</t>
  </si>
  <si>
    <t>陈荣</t>
  </si>
  <si>
    <t>陈明泽,陈荣</t>
  </si>
  <si>
    <t>F950015182776930</t>
  </si>
  <si>
    <t>王化贵</t>
  </si>
  <si>
    <t>韦群,王晓容,王化贵</t>
  </si>
  <si>
    <t>F950015212620693</t>
  </si>
  <si>
    <t>范术高</t>
  </si>
  <si>
    <t>范浩然,刘中琼,范术高</t>
  </si>
  <si>
    <t>F950015316839358</t>
  </si>
  <si>
    <t>吕天金</t>
  </si>
  <si>
    <t>陈朝珍,吕斌,吕天金</t>
  </si>
  <si>
    <t>F950016491370895</t>
  </si>
  <si>
    <t>王金武</t>
  </si>
  <si>
    <t>王伦强,王伦高,王金武</t>
  </si>
  <si>
    <t>F950016624339611</t>
  </si>
  <si>
    <t>周大秀</t>
  </si>
  <si>
    <t>F950018401995873</t>
  </si>
  <si>
    <t>张云金</t>
  </si>
  <si>
    <t>韩义富,张云金,张勤</t>
  </si>
  <si>
    <t>F950018458246183</t>
  </si>
  <si>
    <t>李德富</t>
  </si>
  <si>
    <t>F950022689339512</t>
  </si>
  <si>
    <t>邓一连</t>
  </si>
  <si>
    <t>花建平,黄维智,邓一连,黄宇泽</t>
  </si>
  <si>
    <t>F950024384651602</t>
  </si>
  <si>
    <t>陈文秀</t>
  </si>
  <si>
    <t>F950024517151900</t>
  </si>
  <si>
    <t>吕福秀</t>
  </si>
  <si>
    <t>F950024977464414</t>
  </si>
  <si>
    <t>刘凤永</t>
  </si>
  <si>
    <t>F950025099964604</t>
  </si>
  <si>
    <t>刘凤开</t>
  </si>
  <si>
    <t>罗容,刘凤开</t>
  </si>
  <si>
    <t>F950025857308384</t>
  </si>
  <si>
    <t>周绍华</t>
  </si>
  <si>
    <t>周心美,代红梅,周绍华,周大利</t>
  </si>
  <si>
    <t>F950026546839501</t>
  </si>
  <si>
    <t>胡希华</t>
  </si>
  <si>
    <t>F950026659808122</t>
  </si>
  <si>
    <t>范兴才</t>
  </si>
  <si>
    <t>吕天容,范兴才,范勇,范羽鑫</t>
  </si>
  <si>
    <t>F950028674026500</t>
  </si>
  <si>
    <t>何贤付</t>
  </si>
  <si>
    <t>何贤付,陈文均</t>
  </si>
  <si>
    <t>F950029897777182</t>
  </si>
  <si>
    <t>范贤林</t>
  </si>
  <si>
    <t>范贵方,范贤林,李万强,李阳</t>
  </si>
  <si>
    <t>F950030666682885</t>
  </si>
  <si>
    <t>王福琴</t>
  </si>
  <si>
    <t>王福琴,陈文均,陈晓丽</t>
  </si>
  <si>
    <t>F950031148089548</t>
  </si>
  <si>
    <t>王奎</t>
  </si>
  <si>
    <t>王奎,夏宇</t>
  </si>
  <si>
    <t>F950031751526790</t>
  </si>
  <si>
    <t>王治忠</t>
  </si>
  <si>
    <t>王钢,王治忠,王林,翁德相</t>
  </si>
  <si>
    <t>F950032666370638</t>
  </si>
  <si>
    <t>王修俊</t>
  </si>
  <si>
    <t>F950032977776845</t>
  </si>
  <si>
    <t>范贤富</t>
  </si>
  <si>
    <t>范煊埝,范才军,范贤富,王修云,范才琼</t>
  </si>
  <si>
    <t>F950035770120628</t>
  </si>
  <si>
    <t>陈明建</t>
  </si>
  <si>
    <t>陈坤,杨明英,陈群,陈明建,陈兰</t>
  </si>
  <si>
    <t>F950036916839065</t>
  </si>
  <si>
    <t>吕天亮</t>
  </si>
  <si>
    <t>王洪,吕珊珊,吕天亮,吕淘</t>
  </si>
  <si>
    <t>F950038019964386</t>
  </si>
  <si>
    <t>王修文,王治春</t>
  </si>
  <si>
    <t>F950038383714565</t>
  </si>
  <si>
    <t>李玉林</t>
  </si>
  <si>
    <t>李玉林,王治聪</t>
  </si>
  <si>
    <t>F950038652464576</t>
  </si>
  <si>
    <t>王治帮</t>
  </si>
  <si>
    <t>F950038674183784</t>
  </si>
  <si>
    <t>徐明均</t>
  </si>
  <si>
    <t>F950038838872510</t>
  </si>
  <si>
    <t>余元旭</t>
  </si>
  <si>
    <t>F950040579495675</t>
  </si>
  <si>
    <t>唐云高</t>
  </si>
  <si>
    <t>F950040902151933</t>
  </si>
  <si>
    <t>陈明双</t>
  </si>
  <si>
    <t>F950041114652329</t>
  </si>
  <si>
    <t>F950042074182982</t>
  </si>
  <si>
    <t>王化平</t>
  </si>
  <si>
    <t>黄仁英,王静,王化平</t>
  </si>
  <si>
    <t>F950042570433248</t>
  </si>
  <si>
    <t>王治勋</t>
  </si>
  <si>
    <t>王化军,王治勋</t>
  </si>
  <si>
    <t>F950044030432784</t>
  </si>
  <si>
    <t>邓仕清</t>
  </si>
  <si>
    <t>F950044542933046</t>
  </si>
  <si>
    <t>熊大林</t>
  </si>
  <si>
    <t>F950044812151761</t>
  </si>
  <si>
    <t>王学伦</t>
  </si>
  <si>
    <t>F152456455881050</t>
  </si>
  <si>
    <t>新场村委会</t>
  </si>
  <si>
    <t>曾明杰</t>
  </si>
  <si>
    <t>F223216832368611</t>
  </si>
  <si>
    <t>牟强</t>
  </si>
  <si>
    <t>杨淑秀,牟强</t>
  </si>
  <si>
    <t>F227173001807435</t>
  </si>
  <si>
    <t>王修云</t>
  </si>
  <si>
    <t>F227176086260824</t>
  </si>
  <si>
    <t>王修珍</t>
  </si>
  <si>
    <t>F245303242982850</t>
  </si>
  <si>
    <t>唐建明</t>
  </si>
  <si>
    <t>李世英,唐建明</t>
  </si>
  <si>
    <t>F245306839955253</t>
  </si>
  <si>
    <t>曾小丽</t>
  </si>
  <si>
    <t>F245318303588098</t>
  </si>
  <si>
    <t>周秀芝</t>
  </si>
  <si>
    <t>王锦林,周秀芝</t>
  </si>
  <si>
    <t>F288980615652606</t>
  </si>
  <si>
    <t>牟华章</t>
  </si>
  <si>
    <t>李光珍,牟启光,牟桂方,牟华章</t>
  </si>
  <si>
    <t>F288988133742324</t>
  </si>
  <si>
    <t>魏兴炳</t>
  </si>
  <si>
    <t>F288994024069755</t>
  </si>
  <si>
    <t>朱富勤</t>
  </si>
  <si>
    <t>朱健,朱富勤,雷华秀</t>
  </si>
  <si>
    <t>F368879150404825</t>
  </si>
  <si>
    <t>李自美</t>
  </si>
  <si>
    <t>F401652501890815</t>
  </si>
  <si>
    <t>罗前贵</t>
  </si>
  <si>
    <t>罗春秋,罗前贵,黄三琼</t>
  </si>
  <si>
    <t>F416344955284130</t>
  </si>
  <si>
    <t>范军方</t>
  </si>
  <si>
    <t>王兴富,范军方</t>
  </si>
  <si>
    <t>F519045367307953</t>
  </si>
  <si>
    <t>廖致明</t>
  </si>
  <si>
    <t>廖致明,廖波,王治富</t>
  </si>
  <si>
    <t>F519048688487952</t>
  </si>
  <si>
    <t>范嗣利</t>
  </si>
  <si>
    <t>范俊浩,范晓奎,范晓容,牟玉平,范嗣利</t>
  </si>
  <si>
    <t>F577910512536857</t>
  </si>
  <si>
    <t>范雄芳</t>
  </si>
  <si>
    <t>范文杰,范雄芳</t>
  </si>
  <si>
    <t>F630434130804567</t>
  </si>
  <si>
    <t>贾明军</t>
  </si>
  <si>
    <t>贾俊瑶,贾明军,范玉芳</t>
  </si>
  <si>
    <t>F630438291585795</t>
  </si>
  <si>
    <t>吕仲书</t>
  </si>
  <si>
    <t>F631652622008483</t>
  </si>
  <si>
    <t>王治明</t>
  </si>
  <si>
    <t>王燕琼,王治明,王兵,刘坤友</t>
  </si>
  <si>
    <t>F681733528819393</t>
  </si>
  <si>
    <t>倪昔友</t>
  </si>
  <si>
    <t>倪昔友,倪先文</t>
  </si>
  <si>
    <t>F692191828379605</t>
  </si>
  <si>
    <t>王任书</t>
  </si>
  <si>
    <t>罗雨琼,王任书,王兴,王希,王付权,王丽</t>
  </si>
  <si>
    <t>F731361161644132</t>
  </si>
  <si>
    <t>王治火</t>
  </si>
  <si>
    <t>王治火,王康,欧洋</t>
  </si>
  <si>
    <t>F768635580535318</t>
  </si>
  <si>
    <t>魏志君</t>
  </si>
  <si>
    <t>魏雅勤,魏志君,魏进辰</t>
  </si>
  <si>
    <t>F864346518732028</t>
  </si>
  <si>
    <t>杜寿兰</t>
  </si>
  <si>
    <t>李欣炜,曾正友,杜寿兰,曾燕萍,曾鑫</t>
  </si>
  <si>
    <t>F865546942706174</t>
  </si>
  <si>
    <t>王修庚</t>
  </si>
  <si>
    <t>王修庚,谭银秀,王袁圆,王燕琼,曾光艮</t>
  </si>
  <si>
    <t>F934078113525970</t>
  </si>
  <si>
    <t>罗均</t>
  </si>
  <si>
    <t>罗瑜程,罗均,程旭</t>
  </si>
  <si>
    <t>F936082913923432</t>
  </si>
  <si>
    <t>王治仁</t>
  </si>
  <si>
    <t>王严立,王治仁,张魁如</t>
  </si>
  <si>
    <t>F948396376836294</t>
  </si>
  <si>
    <t>吕天明</t>
  </si>
  <si>
    <t>吕天明,吕根</t>
  </si>
  <si>
    <t>F950014354964244</t>
  </si>
  <si>
    <t>余元斌</t>
  </si>
  <si>
    <t>F950014488870537</t>
  </si>
  <si>
    <t>王修才</t>
  </si>
  <si>
    <t>王修才,李自会</t>
  </si>
  <si>
    <t>F950015427151934</t>
  </si>
  <si>
    <t>范嗣惠</t>
  </si>
  <si>
    <t>F950024525433069</t>
  </si>
  <si>
    <t>胡正华</t>
  </si>
  <si>
    <t>刘登银,胡正华,胡建平</t>
  </si>
  <si>
    <t>F950024607932811</t>
  </si>
  <si>
    <t>王兴培</t>
  </si>
  <si>
    <t>王治发,王兴培,蒋顺友,王路平</t>
  </si>
  <si>
    <t>F950024776683063</t>
  </si>
  <si>
    <t>吕章友</t>
  </si>
  <si>
    <t>吕章友,吕彭</t>
  </si>
  <si>
    <t>F950025009807904</t>
  </si>
  <si>
    <t>曾强</t>
  </si>
  <si>
    <t>曾强,满学兴</t>
  </si>
  <si>
    <t>F950026485433104</t>
  </si>
  <si>
    <t>王治青</t>
  </si>
  <si>
    <t>王治青,王飞</t>
  </si>
  <si>
    <t>F950027151370461</t>
  </si>
  <si>
    <t>曾万根</t>
  </si>
  <si>
    <t>F950028775589670</t>
  </si>
  <si>
    <t>彭明英</t>
  </si>
  <si>
    <t>F950028791370685</t>
  </si>
  <si>
    <t>范嗣德</t>
  </si>
  <si>
    <t>F950030289651738</t>
  </si>
  <si>
    <t>张志云</t>
  </si>
  <si>
    <t>F950030410433232</t>
  </si>
  <si>
    <t>夏元枢</t>
  </si>
  <si>
    <t>F950030774183074</t>
  </si>
  <si>
    <t>王治俊</t>
  </si>
  <si>
    <t>F950032646370659</t>
  </si>
  <si>
    <t>曾万青</t>
  </si>
  <si>
    <t>F950033139183114</t>
  </si>
  <si>
    <t>陈良均</t>
  </si>
  <si>
    <t>黎隆秀,陈良均</t>
  </si>
  <si>
    <t>F950035008870560</t>
  </si>
  <si>
    <t>王治华</t>
  </si>
  <si>
    <t>王超,王晓珊,王治华,张玉容</t>
  </si>
  <si>
    <t>F950036905120956</t>
  </si>
  <si>
    <t>王来品</t>
  </si>
  <si>
    <t>倪先银,王来品,王福玉,王富桂</t>
  </si>
  <si>
    <t>F950038720902119</t>
  </si>
  <si>
    <t>王治云</t>
  </si>
  <si>
    <t>F950038803245914</t>
  </si>
  <si>
    <t>王治友</t>
  </si>
  <si>
    <t>王治友,王亚利,王子豪</t>
  </si>
  <si>
    <t>F950040847621159</t>
  </si>
  <si>
    <t>刘发友</t>
  </si>
  <si>
    <t>刘发友,张友芝,张登云</t>
  </si>
  <si>
    <t>F950041117308526</t>
  </si>
  <si>
    <t>彭祖琪</t>
  </si>
  <si>
    <t>彭祖琪,彭祖安</t>
  </si>
  <si>
    <t>F950041949807936</t>
  </si>
  <si>
    <t>邹泽金</t>
  </si>
  <si>
    <t>邹泽金,邹泽兵</t>
  </si>
  <si>
    <t>F950041994964601</t>
  </si>
  <si>
    <t>张志银,王治兴,王华达,王化均</t>
  </si>
  <si>
    <t>F950042905433460</t>
  </si>
  <si>
    <t>曾禹清</t>
  </si>
  <si>
    <t>F023785579897021</t>
  </si>
  <si>
    <t>义和村委会</t>
  </si>
  <si>
    <t>陈明汉</t>
  </si>
  <si>
    <t>陈明汉,叶国先</t>
  </si>
  <si>
    <t>F027070139680171</t>
  </si>
  <si>
    <t>李久光</t>
  </si>
  <si>
    <t>F245295986351784</t>
  </si>
  <si>
    <t>杨世华</t>
  </si>
  <si>
    <t>F267900963502712</t>
  </si>
  <si>
    <t>刘凤斌</t>
  </si>
  <si>
    <t>刘凤斌,张学东,刘建红</t>
  </si>
  <si>
    <t>F302088705821324</t>
  </si>
  <si>
    <t>杨明宽</t>
  </si>
  <si>
    <t>杨健,杨明宽,杨竹,杨远立</t>
  </si>
  <si>
    <t>F368468867443149</t>
  </si>
  <si>
    <t>杨正权,刘凤芝</t>
  </si>
  <si>
    <t>F368471473380637</t>
  </si>
  <si>
    <t>兰发荣</t>
  </si>
  <si>
    <t>兰发荣,兰克蓉,兰勇,王春,兰欣媛</t>
  </si>
  <si>
    <t>F368871383119664</t>
  </si>
  <si>
    <t>王明全</t>
  </si>
  <si>
    <t>F390313704739263</t>
  </si>
  <si>
    <t>张战军</t>
  </si>
  <si>
    <t>廖贵荣,张战军</t>
  </si>
  <si>
    <t>F560491836688356</t>
  </si>
  <si>
    <t>张国远</t>
  </si>
  <si>
    <t>张国远,罗钦群,张兴诚</t>
  </si>
  <si>
    <t>F569796204327746</t>
  </si>
  <si>
    <t>何自荣</t>
  </si>
  <si>
    <t>F683134261645950</t>
  </si>
  <si>
    <t>杨冬元</t>
  </si>
  <si>
    <t>胡克仲,杨冬元</t>
  </si>
  <si>
    <t>F759536987687071</t>
  </si>
  <si>
    <t>刘凤盆</t>
  </si>
  <si>
    <t>刘凤盆,刘洪宇</t>
  </si>
  <si>
    <t>F851804328062824</t>
  </si>
  <si>
    <t>王兴华</t>
  </si>
  <si>
    <t>吴语洛,王兴华,杨心瑞,蒋寿丽</t>
  </si>
  <si>
    <t>F920979358150101</t>
  </si>
  <si>
    <t>陈明树</t>
  </si>
  <si>
    <t>陈明树,吴顺鸣,陈林</t>
  </si>
  <si>
    <t>F920983796481681</t>
  </si>
  <si>
    <t>杨沛根</t>
  </si>
  <si>
    <t>杨沛根,杨浩彬,吴友珍</t>
  </si>
  <si>
    <t>F949984357776675</t>
  </si>
  <si>
    <t>潘汉高</t>
  </si>
  <si>
    <t>潘汉高,王伦秀</t>
  </si>
  <si>
    <t>F949984466214225</t>
  </si>
  <si>
    <t>刘凤珍</t>
  </si>
  <si>
    <t>F949990105745576</t>
  </si>
  <si>
    <t>吴兴珍</t>
  </si>
  <si>
    <t>F950011578089510</t>
  </si>
  <si>
    <t>张景明</t>
  </si>
  <si>
    <t>张景明,魏兴华</t>
  </si>
  <si>
    <t>F950013207777386</t>
  </si>
  <si>
    <t>莫汉荣</t>
  </si>
  <si>
    <t>F950013365120711</t>
  </si>
  <si>
    <t>王治维</t>
  </si>
  <si>
    <t>F950014401214211</t>
  </si>
  <si>
    <t>罗昌友</t>
  </si>
  <si>
    <t>杨明超,杨吉星,罗昌友,钟林秀,杨智敏</t>
  </si>
  <si>
    <t>F950014661214175</t>
  </si>
  <si>
    <t>刘凤钦</t>
  </si>
  <si>
    <t>刘凤钦,刘洪云,刘蕾,唐元珍</t>
  </si>
  <si>
    <t>F950014880276590</t>
  </si>
  <si>
    <t>刘宗伦</t>
  </si>
  <si>
    <t>F950015188870613</t>
  </si>
  <si>
    <t>张晓平</t>
  </si>
  <si>
    <t>F950015429964399</t>
  </si>
  <si>
    <t>张公才</t>
  </si>
  <si>
    <t>张公才,黄显英</t>
  </si>
  <si>
    <t>F950016566683113</t>
  </si>
  <si>
    <t>胡全清</t>
  </si>
  <si>
    <t>F950016813089381</t>
  </si>
  <si>
    <t>杨建军</t>
  </si>
  <si>
    <t>杨雨晴,杨建军</t>
  </si>
  <si>
    <t>F950018463714291</t>
  </si>
  <si>
    <t>杨明礼</t>
  </si>
  <si>
    <t>杨明礼,郑天高</t>
  </si>
  <si>
    <t>F950018661214570</t>
  </si>
  <si>
    <t>杨明均</t>
  </si>
  <si>
    <t>杨明均,杨鑫荫,杨煊</t>
  </si>
  <si>
    <t>F950022621995459</t>
  </si>
  <si>
    <t>蒋永政</t>
  </si>
  <si>
    <t>F950022682463999</t>
  </si>
  <si>
    <t>张明才</t>
  </si>
  <si>
    <t>张明才,杨翠屏,张超</t>
  </si>
  <si>
    <t>F950025151995848</t>
  </si>
  <si>
    <t>蒋寿龙</t>
  </si>
  <si>
    <t>蒋守海,蒋寿龙,王丙容</t>
  </si>
  <si>
    <t>F950026214651985</t>
  </si>
  <si>
    <t>唐永江</t>
  </si>
  <si>
    <t>F950026526683154</t>
  </si>
  <si>
    <t>张容才</t>
  </si>
  <si>
    <t>张容才,刘天均,刘用</t>
  </si>
  <si>
    <t>F950026649808363</t>
  </si>
  <si>
    <t>陈洪</t>
  </si>
  <si>
    <t>陈洪,卢宗容</t>
  </si>
  <si>
    <t>F950026983714285</t>
  </si>
  <si>
    <t>杨俊波</t>
  </si>
  <si>
    <t>F950027100589579</t>
  </si>
  <si>
    <t>杨正宽</t>
  </si>
  <si>
    <t>杨正宽,杨才友,王修明</t>
  </si>
  <si>
    <t>F950027108089086</t>
  </si>
  <si>
    <t>邓国秀</t>
  </si>
  <si>
    <t>邓国秀,刘锦瑞</t>
  </si>
  <si>
    <t>F950027874495259</t>
  </si>
  <si>
    <t>方绍清</t>
  </si>
  <si>
    <t>F950027921995462</t>
  </si>
  <si>
    <t>李治安</t>
  </si>
  <si>
    <t>F950028019339172</t>
  </si>
  <si>
    <t>李德友</t>
  </si>
  <si>
    <t>李德友,李光清</t>
  </si>
  <si>
    <t>F950028254027041</t>
  </si>
  <si>
    <t>刘天禄</t>
  </si>
  <si>
    <t>刘天禄,刘海荣</t>
  </si>
  <si>
    <t>F950028517152511</t>
  </si>
  <si>
    <t>杨明权</t>
  </si>
  <si>
    <t>曾传容,杨明权</t>
  </si>
  <si>
    <t>F950029165589650</t>
  </si>
  <si>
    <t>胡其昌</t>
  </si>
  <si>
    <t>胡其昌,胡家辉,胡佳丽</t>
  </si>
  <si>
    <t>F950030159026509</t>
  </si>
  <si>
    <t>欧光炳</t>
  </si>
  <si>
    <t>F950030263089199</t>
  </si>
  <si>
    <t>张昌增</t>
  </si>
  <si>
    <t>F950030296526619</t>
  </si>
  <si>
    <t>张昌元</t>
  </si>
  <si>
    <t>张元芳,张昌全,张昌元,王玉珍,张文强</t>
  </si>
  <si>
    <t>F950030644339699</t>
  </si>
  <si>
    <t>邓国分</t>
  </si>
  <si>
    <t>杨明安,邓国分</t>
  </si>
  <si>
    <t>F950032394807918</t>
  </si>
  <si>
    <t>杨贵珍</t>
  </si>
  <si>
    <t>F950032535745376</t>
  </si>
  <si>
    <t>赵德珍</t>
  </si>
  <si>
    <t>满利权,陈明珍,李文强,满校焱,赵德珍</t>
  </si>
  <si>
    <t>F950033840432974</t>
  </si>
  <si>
    <t>胡克堂</t>
  </si>
  <si>
    <t>胡克堂,胡仡譞</t>
  </si>
  <si>
    <t>F950034705276782</t>
  </si>
  <si>
    <t>杨正格</t>
  </si>
  <si>
    <t>杨正格,曹永珍</t>
  </si>
  <si>
    <t>F950034818401703</t>
  </si>
  <si>
    <t>任天华</t>
  </si>
  <si>
    <t>F950035786059140</t>
  </si>
  <si>
    <t>张国万</t>
  </si>
  <si>
    <t>F950036197465334</t>
  </si>
  <si>
    <t>陈鑫鹏</t>
  </si>
  <si>
    <t>F950036522776990</t>
  </si>
  <si>
    <t>李金银</t>
  </si>
  <si>
    <t>李进财,王凤明,李思扬,李金银,李诗宇</t>
  </si>
  <si>
    <t>F950037982464539</t>
  </si>
  <si>
    <t>蒋学勇</t>
  </si>
  <si>
    <t>F950038029964609</t>
  </si>
  <si>
    <t>王修田</t>
  </si>
  <si>
    <t>王修田,王利</t>
  </si>
  <si>
    <t>F950038548870749</t>
  </si>
  <si>
    <t>邓勇康</t>
  </si>
  <si>
    <t>F950038618402130</t>
  </si>
  <si>
    <t>张昌林</t>
  </si>
  <si>
    <t>张昌林,张景雄,王治香</t>
  </si>
  <si>
    <t>F950039097152013</t>
  </si>
  <si>
    <t>廖自兵</t>
  </si>
  <si>
    <t>熊明珍,廖自春,廖长春,廖自兵</t>
  </si>
  <si>
    <t>F950039831058757</t>
  </si>
  <si>
    <t>冯贞银</t>
  </si>
  <si>
    <t>黄安军,冯贞银</t>
  </si>
  <si>
    <t>F950040017151953</t>
  </si>
  <si>
    <t>陈清枢</t>
  </si>
  <si>
    <t>F950040331995899</t>
  </si>
  <si>
    <t>廖自英</t>
  </si>
  <si>
    <t>F950040596527050</t>
  </si>
  <si>
    <t>袁禄军</t>
  </si>
  <si>
    <t>刘凤珍,袁禄军,袁名扬</t>
  </si>
  <si>
    <t>F950040940120607</t>
  </si>
  <si>
    <t>刘德安</t>
  </si>
  <si>
    <t>刘德安,刘勇,刘家宏,刘猛,牟长会</t>
  </si>
  <si>
    <t>F950042379652295</t>
  </si>
  <si>
    <t>朱福军</t>
  </si>
  <si>
    <t>朱福军,王翠珍</t>
  </si>
  <si>
    <t>F950042795120593</t>
  </si>
  <si>
    <t>牟容</t>
  </si>
  <si>
    <t>何仲军,牟容,何小容,兰夏</t>
  </si>
  <si>
    <t>F950043912776504</t>
  </si>
  <si>
    <t>唐尧君</t>
  </si>
  <si>
    <t>F950043958714388</t>
  </si>
  <si>
    <t>杨东</t>
  </si>
  <si>
    <t>杨桂秋,杨东,周成根,宋英</t>
  </si>
  <si>
    <t>F577914560563972</t>
  </si>
  <si>
    <t>李子村委会</t>
  </si>
  <si>
    <t>王君</t>
  </si>
  <si>
    <t>F604344341662834</t>
  </si>
  <si>
    <t>徐加强</t>
  </si>
  <si>
    <t>徐贝,耿文英,徐加强</t>
  </si>
  <si>
    <t>F630457335023333</t>
  </si>
  <si>
    <t>张建</t>
  </si>
  <si>
    <t>张力文,邓渠,张建</t>
  </si>
  <si>
    <t>F631675759674516</t>
  </si>
  <si>
    <t>胡润珍</t>
  </si>
  <si>
    <t>F631677801852420</t>
  </si>
  <si>
    <t>吴芝财</t>
  </si>
  <si>
    <t>F657055279484247</t>
  </si>
  <si>
    <t>耿光红</t>
  </si>
  <si>
    <t>耿文好,耿光红,耿富,耿小燕,张永芬</t>
  </si>
  <si>
    <t>F936080095173568</t>
  </si>
  <si>
    <t>代明友</t>
  </si>
  <si>
    <t>F949982398401575</t>
  </si>
  <si>
    <t>欧显端</t>
  </si>
  <si>
    <t>F949982457620477</t>
  </si>
  <si>
    <t>范财芳</t>
  </si>
  <si>
    <t>范财芳,黄跃</t>
  </si>
  <si>
    <t>F949984325120319</t>
  </si>
  <si>
    <t>张学荣</t>
  </si>
  <si>
    <t>张学荣,陈虹丽</t>
  </si>
  <si>
    <t>F949988249964300</t>
  </si>
  <si>
    <t>刘远安</t>
  </si>
  <si>
    <t>F950009407776931</t>
  </si>
  <si>
    <t>陈明秀</t>
  </si>
  <si>
    <t>F950009682776794</t>
  </si>
  <si>
    <t>徐堂珍</t>
  </si>
  <si>
    <t>F950011339183222</t>
  </si>
  <si>
    <t>代光容</t>
  </si>
  <si>
    <t>熊晓江,代光容,黄显志,熊宇浩,熊志超</t>
  </si>
  <si>
    <t>F950011487777280</t>
  </si>
  <si>
    <t>袁成枢</t>
  </si>
  <si>
    <t>F950012900276588</t>
  </si>
  <si>
    <t>熊光顺</t>
  </si>
  <si>
    <t>F950012992464063</t>
  </si>
  <si>
    <t>周永富</t>
  </si>
  <si>
    <t>F950013386370959</t>
  </si>
  <si>
    <t>熊明宽</t>
  </si>
  <si>
    <t>熊馨瑶,王明凤,熊明宽,熊元华,熊科雅,熊馨怡</t>
  </si>
  <si>
    <t>F950013654807841</t>
  </si>
  <si>
    <t>黄安友</t>
  </si>
  <si>
    <t>黄琼,黄安友</t>
  </si>
  <si>
    <t>F950014455901731</t>
  </si>
  <si>
    <t>魏文光</t>
  </si>
  <si>
    <t>魏文光,魏建铸</t>
  </si>
  <si>
    <t>F950014467620554</t>
  </si>
  <si>
    <t>代明金</t>
  </si>
  <si>
    <t>代明金,唐维英</t>
  </si>
  <si>
    <t>F950014863714316</t>
  </si>
  <si>
    <t>耿光明</t>
  </si>
  <si>
    <t>张明根,耿明容,耿光明,黄茁洪</t>
  </si>
  <si>
    <t>F950015073401861</t>
  </si>
  <si>
    <t>唐永昌</t>
  </si>
  <si>
    <t>胡克凤,唐昌平,唐永昌</t>
  </si>
  <si>
    <t>F950015716526918</t>
  </si>
  <si>
    <t>刘凤金</t>
  </si>
  <si>
    <t>刘凤金,向传金,刘卫,刘兵</t>
  </si>
  <si>
    <t>F950016441371061</t>
  </si>
  <si>
    <t>周成秀</t>
  </si>
  <si>
    <t>熊淋,周成秀</t>
  </si>
  <si>
    <t>F950018387308226</t>
  </si>
  <si>
    <t>谭全友</t>
  </si>
  <si>
    <t>F950018448870714</t>
  </si>
  <si>
    <t>黄安国</t>
  </si>
  <si>
    <t>F950020552464926</t>
  </si>
  <si>
    <t>耿文燕</t>
  </si>
  <si>
    <t>耿光俊,耿文燕,杨才林</t>
  </si>
  <si>
    <t>F950020622933156</t>
  </si>
  <si>
    <t>黄晓东</t>
  </si>
  <si>
    <t>F950022350120547</t>
  </si>
  <si>
    <t>曹翠容</t>
  </si>
  <si>
    <t>F950022365277053</t>
  </si>
  <si>
    <t>王华珍,魏富贵,魏小琴</t>
  </si>
  <si>
    <t>F950022712151629</t>
  </si>
  <si>
    <t>魏朝德</t>
  </si>
  <si>
    <t>F950024725120467</t>
  </si>
  <si>
    <t>李明枢</t>
  </si>
  <si>
    <t>李超,李明枢</t>
  </si>
  <si>
    <t>F950025876526869</t>
  </si>
  <si>
    <t>陈志根</t>
  </si>
  <si>
    <t>范词惠,陈志根</t>
  </si>
  <si>
    <t>F950026111839570</t>
  </si>
  <si>
    <t>刘远财</t>
  </si>
  <si>
    <t>F950026508401558</t>
  </si>
  <si>
    <t>黄秀田</t>
  </si>
  <si>
    <t>刘忠全,黄秀田,刘定容,黄继琼</t>
  </si>
  <si>
    <t>F950026558402207</t>
  </si>
  <si>
    <t>唐永贵</t>
  </si>
  <si>
    <t>王珍桂,唐春花,唐永贵,陈姝昙</t>
  </si>
  <si>
    <t>F950026584495542</t>
  </si>
  <si>
    <t>熊明财</t>
  </si>
  <si>
    <t>熊明财,张正桂,熊敏</t>
  </si>
  <si>
    <t>F950026733714673</t>
  </si>
  <si>
    <t>朱顺清</t>
  </si>
  <si>
    <t>朱顺清,朱宫颖</t>
  </si>
  <si>
    <t>F950026953714653</t>
  </si>
  <si>
    <t>欧光均</t>
  </si>
  <si>
    <t>F950027085276518</t>
  </si>
  <si>
    <t>宋万珍</t>
  </si>
  <si>
    <t>F950027196526549</t>
  </si>
  <si>
    <t>魏寅丕</t>
  </si>
  <si>
    <t>曾新祝,魏寅丕,魏淑容,曾思荣</t>
  </si>
  <si>
    <t>F950028022152009</t>
  </si>
  <si>
    <t>向德定</t>
  </si>
  <si>
    <t>向德定,黄贝友,黄安琴</t>
  </si>
  <si>
    <t>F950028281683123</t>
  </si>
  <si>
    <t>黄显林</t>
  </si>
  <si>
    <t>黄显林,王修华,范小芳</t>
  </si>
  <si>
    <t>F950028779026848</t>
  </si>
  <si>
    <t>朱公武</t>
  </si>
  <si>
    <t>朱公武,陈义容,朱彬</t>
  </si>
  <si>
    <t>F950028990589629</t>
  </si>
  <si>
    <t>吴新连</t>
  </si>
  <si>
    <t>吴通银,李国成,吴新连</t>
  </si>
  <si>
    <t>F950030293089163</t>
  </si>
  <si>
    <t>吕树琼</t>
  </si>
  <si>
    <t>吕树琼,欧逸涵</t>
  </si>
  <si>
    <t>F950030926058653</t>
  </si>
  <si>
    <t>黄显位</t>
  </si>
  <si>
    <t>黄春燕,黄显位,潘红珍</t>
  </si>
  <si>
    <t>F950031081995373</t>
  </si>
  <si>
    <t>黄明堂</t>
  </si>
  <si>
    <t>王贤书,黄明堂,黄永强</t>
  </si>
  <si>
    <t>F950031088407340</t>
  </si>
  <si>
    <t>刘远林</t>
  </si>
  <si>
    <t>刘远林,刘万元,欧光连</t>
  </si>
  <si>
    <t>F950031977777214</t>
  </si>
  <si>
    <t>欧光维</t>
  </si>
  <si>
    <t>欧光明,欧家欣,欧光维</t>
  </si>
  <si>
    <t>F950032127776940</t>
  </si>
  <si>
    <t>黄明善</t>
  </si>
  <si>
    <t>黄明善,刘洪辛,黄华,邓明珍,刘洪岑</t>
  </si>
  <si>
    <t>F950032737933612</t>
  </si>
  <si>
    <t>马顺凡</t>
  </si>
  <si>
    <t>刘凤兰,徐东,马顺凡,徐伯康</t>
  </si>
  <si>
    <t>F950033834339124</t>
  </si>
  <si>
    <t>欧光洪</t>
  </si>
  <si>
    <t>欧明珍,欧光洪,欧明川,王明容</t>
  </si>
  <si>
    <t>F950033850276741</t>
  </si>
  <si>
    <t>吴新银</t>
  </si>
  <si>
    <t>F950033871058134</t>
  </si>
  <si>
    <t>欧甫成</t>
  </si>
  <si>
    <t>袁公秀,欧甫成,欧亚林,欧美灵,付明珍</t>
  </si>
  <si>
    <t>F950034164183406</t>
  </si>
  <si>
    <t>周成富</t>
  </si>
  <si>
    <t>袁德恩,周春,周成富,余华秀</t>
  </si>
  <si>
    <t>F950034214808179</t>
  </si>
  <si>
    <t>王再芬</t>
  </si>
  <si>
    <t>王再芬,欧杨,欧军林,欧宇</t>
  </si>
  <si>
    <t>F950036053245424</t>
  </si>
  <si>
    <t>陈中林</t>
  </si>
  <si>
    <t>F950036356214983</t>
  </si>
  <si>
    <t>黄伟财</t>
  </si>
  <si>
    <t>F950036531370929</t>
  </si>
  <si>
    <t>王蜀章</t>
  </si>
  <si>
    <t>F950036604339564</t>
  </si>
  <si>
    <t>朱平富</t>
  </si>
  <si>
    <t>朱平富,陈清容,陈利萍</t>
  </si>
  <si>
    <t>F950036838870887</t>
  </si>
  <si>
    <t>王祖秀</t>
  </si>
  <si>
    <t>熊羽,熊莉,向晓霞,王祖秀</t>
  </si>
  <si>
    <t>F950037182308117</t>
  </si>
  <si>
    <t>黄显蓉</t>
  </si>
  <si>
    <t>周德均,黄显蓉,黄安旭</t>
  </si>
  <si>
    <t>F950038263558397</t>
  </si>
  <si>
    <t>张正方</t>
  </si>
  <si>
    <t>F950038643089791</t>
  </si>
  <si>
    <t>欧显中</t>
  </si>
  <si>
    <t>张治相,欧显中</t>
  </si>
  <si>
    <t>F950038857308063</t>
  </si>
  <si>
    <t>张友分</t>
  </si>
  <si>
    <t>欧珊妤,雷小琼,欧世埕,张友分,欧明君,欧采苓</t>
  </si>
  <si>
    <t>F950039060277250</t>
  </si>
  <si>
    <t>魏登虎</t>
  </si>
  <si>
    <t>魏登虎,朱相平,魏雪妹,魏俊铭</t>
  </si>
  <si>
    <t>F950039064026857</t>
  </si>
  <si>
    <t>欧胜均</t>
  </si>
  <si>
    <t>欧胜均,李显章</t>
  </si>
  <si>
    <t>F950040033870550</t>
  </si>
  <si>
    <t>刘洪章</t>
  </si>
  <si>
    <t>刘洪章,刘琴,欧光容</t>
  </si>
  <si>
    <t>F950040056370493</t>
  </si>
  <si>
    <t>魏文财</t>
  </si>
  <si>
    <t>魏文财,陶家豪,陶雨婷,魏小根</t>
  </si>
  <si>
    <t>F950040628558152</t>
  </si>
  <si>
    <t>熊明强</t>
  </si>
  <si>
    <t>F950040720276751</t>
  </si>
  <si>
    <t>熊明德</t>
  </si>
  <si>
    <t>F950042098089586</t>
  </si>
  <si>
    <t>熊光武</t>
  </si>
  <si>
    <t>杨忠英,熊光武</t>
  </si>
  <si>
    <t>F950043269495464</t>
  </si>
  <si>
    <t>欧祖万</t>
  </si>
  <si>
    <t>F950043277152543</t>
  </si>
  <si>
    <t>欧显泽</t>
  </si>
  <si>
    <t>F950043974964081</t>
  </si>
  <si>
    <t>杨代枢</t>
  </si>
  <si>
    <t>F950044120902036</t>
  </si>
  <si>
    <t>张良英</t>
  </si>
  <si>
    <t>F950044602620935</t>
  </si>
  <si>
    <t>温光英</t>
  </si>
  <si>
    <t>F994754593401970</t>
  </si>
  <si>
    <t>代美翠</t>
  </si>
  <si>
    <t>陈志豪,陈柯宇,代美翠,左九友</t>
  </si>
  <si>
    <t>F994768913557958</t>
  </si>
  <si>
    <t>肖国为</t>
  </si>
  <si>
    <t>徐仕伦,肖国为</t>
  </si>
  <si>
    <t>F996882351985812</t>
  </si>
  <si>
    <t>余美金</t>
  </si>
  <si>
    <t>余美金,钟前分,余强,余星益</t>
  </si>
  <si>
    <t>F997498759992325</t>
  </si>
  <si>
    <t>欧平均</t>
  </si>
  <si>
    <t>欧平均,欧芯瑜,覃光秀,欧枷何</t>
  </si>
  <si>
    <t>F051301208715583</t>
  </si>
  <si>
    <t>茶林村委会</t>
  </si>
  <si>
    <t>周成蛟</t>
  </si>
  <si>
    <t>唐光孝,周成蛟</t>
  </si>
  <si>
    <t>F063042216161269</t>
  </si>
  <si>
    <t>周德清</t>
  </si>
  <si>
    <t>F152652770104614</t>
  </si>
  <si>
    <t>张超方</t>
  </si>
  <si>
    <t>周羽萱,张超方,周小容</t>
  </si>
  <si>
    <t>F376265269678642</t>
  </si>
  <si>
    <t>胡其发</t>
  </si>
  <si>
    <t>潘伍珍,胡克成,胡其发</t>
  </si>
  <si>
    <t>F417742484871562</t>
  </si>
  <si>
    <t>黄显均</t>
  </si>
  <si>
    <t>F477668499729474</t>
  </si>
  <si>
    <t>张家浩</t>
  </si>
  <si>
    <t>F519728997057975</t>
  </si>
  <si>
    <t>杨正琼</t>
  </si>
  <si>
    <t>胡东,杨正琼,程程,胡钰柃,胡艳焱,梁招仙</t>
  </si>
  <si>
    <t>F577905365818233</t>
  </si>
  <si>
    <t>周显竹</t>
  </si>
  <si>
    <t>F604654331433902</t>
  </si>
  <si>
    <t>廖平</t>
  </si>
  <si>
    <t>胡进松,廖平</t>
  </si>
  <si>
    <t>F630440415023302</t>
  </si>
  <si>
    <t>周显明</t>
  </si>
  <si>
    <t>F631657268788957</t>
  </si>
  <si>
    <t>倪仁木,倪先强,陈清枢</t>
  </si>
  <si>
    <t>F673084016392025</t>
  </si>
  <si>
    <t>吴兴田</t>
  </si>
  <si>
    <t>胡克珍,吴兴田</t>
  </si>
  <si>
    <t>F761225649721990</t>
  </si>
  <si>
    <t>罗荣富</t>
  </si>
  <si>
    <t>F895840895856611</t>
  </si>
  <si>
    <t>胡其兵</t>
  </si>
  <si>
    <t>F934076952119691</t>
  </si>
  <si>
    <t>F939574644262660</t>
  </si>
  <si>
    <t>胡克义</t>
  </si>
  <si>
    <t>F949982055745970</t>
  </si>
  <si>
    <t>李明琼</t>
  </si>
  <si>
    <t>F949984386839370</t>
  </si>
  <si>
    <t>唐远洋</t>
  </si>
  <si>
    <t>F950009583089355</t>
  </si>
  <si>
    <t>杨春敏</t>
  </si>
  <si>
    <t>杨春敏,史荣,史耀强,史荣水</t>
  </si>
  <si>
    <t>F950011583871176</t>
  </si>
  <si>
    <t>王田金</t>
  </si>
  <si>
    <t>周显俊,王大清,王田金</t>
  </si>
  <si>
    <t>F950011647464015</t>
  </si>
  <si>
    <t>邹代英</t>
  </si>
  <si>
    <t>F950011681683227</t>
  </si>
  <si>
    <t>熊明书</t>
  </si>
  <si>
    <t>F950012876683237</t>
  </si>
  <si>
    <t>周显忠,周华</t>
  </si>
  <si>
    <t>F950013481370744</t>
  </si>
  <si>
    <t>满道平</t>
  </si>
  <si>
    <t>胡克仲,满道平</t>
  </si>
  <si>
    <t>F950013753714694</t>
  </si>
  <si>
    <t>王大洪</t>
  </si>
  <si>
    <t>甄尚凤,王大洪,王琳</t>
  </si>
  <si>
    <t>F950014534807828</t>
  </si>
  <si>
    <t>黄兴作</t>
  </si>
  <si>
    <t>黄国林,黄兴作</t>
  </si>
  <si>
    <t>F950014706682905</t>
  </si>
  <si>
    <t>杨世珍</t>
  </si>
  <si>
    <t>杨世珍,胡其顶</t>
  </si>
  <si>
    <t>F950014791370948</t>
  </si>
  <si>
    <t>祝贵林</t>
  </si>
  <si>
    <t>祝贵林,胡晓林</t>
  </si>
  <si>
    <t>F950015687151982</t>
  </si>
  <si>
    <t>黄国财</t>
  </si>
  <si>
    <t>F950018738089200</t>
  </si>
  <si>
    <t>周成良</t>
  </si>
  <si>
    <t>F950022392307961</t>
  </si>
  <si>
    <t>胡鹏</t>
  </si>
  <si>
    <t>F950024154026735</t>
  </si>
  <si>
    <t>唐辉珍</t>
  </si>
  <si>
    <t>唐辉珍,翁代军,翁馨,黄显琼,翁焯</t>
  </si>
  <si>
    <t>F950024293089380</t>
  </si>
  <si>
    <t>胡其才</t>
  </si>
  <si>
    <t>胡其才,胡红</t>
  </si>
  <si>
    <t>F950024602151964</t>
  </si>
  <si>
    <t>王斗成</t>
  </si>
  <si>
    <t>王斗成,陈明富</t>
  </si>
  <si>
    <t>F950025257777021</t>
  </si>
  <si>
    <t>刘凤明</t>
  </si>
  <si>
    <t>F950025786839672</t>
  </si>
  <si>
    <t>周显华,周才仙,袁泽秀</t>
  </si>
  <si>
    <t>F950025930433161</t>
  </si>
  <si>
    <t>何绍友</t>
  </si>
  <si>
    <t>F950026078245338</t>
  </si>
  <si>
    <t>倪亚容,周军利,周成龙,周大富</t>
  </si>
  <si>
    <t>F950026668558174</t>
  </si>
  <si>
    <t>潘自义</t>
  </si>
  <si>
    <t>F950026710276854</t>
  </si>
  <si>
    <t>胡秀齐</t>
  </si>
  <si>
    <t>胡秀齐,周雄</t>
  </si>
  <si>
    <t>F950026753558059</t>
  </si>
  <si>
    <t>张光福</t>
  </si>
  <si>
    <t>F950026854807990</t>
  </si>
  <si>
    <t>周孟军</t>
  </si>
  <si>
    <t>周孟军,胡其贵</t>
  </si>
  <si>
    <t>F950026986526734</t>
  </si>
  <si>
    <t>胡克勋</t>
  </si>
  <si>
    <t>胡克勋,胡进强</t>
  </si>
  <si>
    <t>F950027111058067</t>
  </si>
  <si>
    <t>余启厚</t>
  </si>
  <si>
    <t>F950027947620655</t>
  </si>
  <si>
    <t>胡其红</t>
  </si>
  <si>
    <t>胡其红,胡陈艺,胡陈雪,陈绍琼</t>
  </si>
  <si>
    <t>F950028653870903</t>
  </si>
  <si>
    <t>唐自珍</t>
  </si>
  <si>
    <t>张汝贵,唐自珍</t>
  </si>
  <si>
    <t>F950028662152294</t>
  </si>
  <si>
    <t>陈洪贻</t>
  </si>
  <si>
    <t>陈洪贻,陈燕,周成金</t>
  </si>
  <si>
    <t>F950028665433082</t>
  </si>
  <si>
    <t>罗荣华</t>
  </si>
  <si>
    <t>罗荣华,余秀珍,罗锦洪,罗玉琳,罗丹,罗梓涵</t>
  </si>
  <si>
    <t>F950029035121522</t>
  </si>
  <si>
    <t>张继根</t>
  </si>
  <si>
    <t>张继根,蔺莲华,张芳城,张芳</t>
  </si>
  <si>
    <t>F950029803558014</t>
  </si>
  <si>
    <t>周显武</t>
  </si>
  <si>
    <t>F950030273557957</t>
  </si>
  <si>
    <t>曹光国</t>
  </si>
  <si>
    <t>曹永红,李国明,曹薇,曹光国</t>
  </si>
  <si>
    <t>F950030374339481</t>
  </si>
  <si>
    <t>黄国明</t>
  </si>
  <si>
    <t>F950030418089685</t>
  </si>
  <si>
    <t>唐洪才</t>
  </si>
  <si>
    <t>唐洪才,吴德玉</t>
  </si>
  <si>
    <t>F950030612620979</t>
  </si>
  <si>
    <t>胡其右</t>
  </si>
  <si>
    <t>余萍,周海梅,胡其右,周莎,周德江</t>
  </si>
  <si>
    <t>F950030675589744</t>
  </si>
  <si>
    <t>王学林</t>
  </si>
  <si>
    <t>F950030863089647</t>
  </si>
  <si>
    <t>胡克莲</t>
  </si>
  <si>
    <t>周秋兰,胡克莲,周永晨</t>
  </si>
  <si>
    <t>F950030965902107</t>
  </si>
  <si>
    <t>胡平</t>
  </si>
  <si>
    <t>欧盛秀,胡平,胡玉霞,胡瑜婷</t>
  </si>
  <si>
    <t>F950031055589671</t>
  </si>
  <si>
    <t>周显万</t>
  </si>
  <si>
    <t>杨桂芳,周家钰,周德勇,周显万</t>
  </si>
  <si>
    <t>F950031069652052</t>
  </si>
  <si>
    <t>杨盛华</t>
  </si>
  <si>
    <t>杨盛华,杨晓龙</t>
  </si>
  <si>
    <t>F950031094339073</t>
  </si>
  <si>
    <t>胡文相</t>
  </si>
  <si>
    <t>F950031793245782</t>
  </si>
  <si>
    <t>胡全斌</t>
  </si>
  <si>
    <t>胡全斌,张吉林</t>
  </si>
  <si>
    <t>F950032580901772</t>
  </si>
  <si>
    <t>胡其能</t>
  </si>
  <si>
    <t>F950032695589670</t>
  </si>
  <si>
    <t>郑学清</t>
  </si>
  <si>
    <t>郑学清,周成珍</t>
  </si>
  <si>
    <t>F950032827309076</t>
  </si>
  <si>
    <t>宋万友</t>
  </si>
  <si>
    <t>F950033912620626</t>
  </si>
  <si>
    <t>周绍强</t>
  </si>
  <si>
    <t>F950034050589568</t>
  </si>
  <si>
    <t>胡其炳</t>
  </si>
  <si>
    <t>胡南千,胡其炳,胡滟笼</t>
  </si>
  <si>
    <t>F950034102308248</t>
  </si>
  <si>
    <t>黄维香</t>
  </si>
  <si>
    <t>黄晓琴,黄维香,宋连珍</t>
  </si>
  <si>
    <t>F950034739183024</t>
  </si>
  <si>
    <t>周显容</t>
  </si>
  <si>
    <t>F950034846527544</t>
  </si>
  <si>
    <t>胡进容</t>
  </si>
  <si>
    <t>胡进容,胡进松</t>
  </si>
  <si>
    <t>F950034954964475</t>
  </si>
  <si>
    <t>周大维</t>
  </si>
  <si>
    <t>F950035152620884</t>
  </si>
  <si>
    <t>胡其坤</t>
  </si>
  <si>
    <t>胡洪川,胡其坤,胡采婷</t>
  </si>
  <si>
    <t>F950035757308269</t>
  </si>
  <si>
    <t>唐正兴</t>
  </si>
  <si>
    <t>黄唐学,黄坤棚,王元复,唐正兴,唐洪英</t>
  </si>
  <si>
    <t>F950036463404550</t>
  </si>
  <si>
    <t>陶正英</t>
  </si>
  <si>
    <t>陶正英,胡平</t>
  </si>
  <si>
    <t>F950036468404362</t>
  </si>
  <si>
    <t>周成明</t>
  </si>
  <si>
    <t>周洪,杨盛美,周成明</t>
  </si>
  <si>
    <t>F950036487308036</t>
  </si>
  <si>
    <t>宋连安</t>
  </si>
  <si>
    <t>宋连安,宋永红,宋雨韩,周显玲,宋万林</t>
  </si>
  <si>
    <t>F950036498870392</t>
  </si>
  <si>
    <t>宋连海</t>
  </si>
  <si>
    <t>宋连海,宋波,宋旭锋</t>
  </si>
  <si>
    <t>F950036633245326</t>
  </si>
  <si>
    <t>胡全伦</t>
  </si>
  <si>
    <t>F950036985433248</t>
  </si>
  <si>
    <t>张四维</t>
  </si>
  <si>
    <t>余淑华,张四维</t>
  </si>
  <si>
    <t>F950037153870591</t>
  </si>
  <si>
    <t>胡全炯</t>
  </si>
  <si>
    <t>胡其树,胡江,胡全炯,蒋宏</t>
  </si>
  <si>
    <t>F950038254495301</t>
  </si>
  <si>
    <t>周显金</t>
  </si>
  <si>
    <t>周显金,周林</t>
  </si>
  <si>
    <t>F950038257620769</t>
  </si>
  <si>
    <t>吴万亨</t>
  </si>
  <si>
    <t>F950038977933353</t>
  </si>
  <si>
    <t>周显峰</t>
  </si>
  <si>
    <t>周显峰,周磬兰</t>
  </si>
  <si>
    <t>F950039152152485</t>
  </si>
  <si>
    <t>胡文均</t>
  </si>
  <si>
    <t>胡文均,胡运江,管光琴</t>
  </si>
  <si>
    <t>F950040052932997</t>
  </si>
  <si>
    <t>潘自顺</t>
  </si>
  <si>
    <t>潘自顺,马光祝</t>
  </si>
  <si>
    <t>F950040337308225</t>
  </si>
  <si>
    <t>周大元</t>
  </si>
  <si>
    <t>F950040436683035</t>
  </si>
  <si>
    <t>胡其旭</t>
  </si>
  <si>
    <t>F950040458870466</t>
  </si>
  <si>
    <t>蒋元平</t>
  </si>
  <si>
    <t>舒连珍,蒋天理,蒋元平</t>
  </si>
  <si>
    <t>F950040475433529</t>
  </si>
  <si>
    <t>周永生</t>
  </si>
  <si>
    <t>F950041878714414</t>
  </si>
  <si>
    <t>周显军,周德森,王修进,周成凯</t>
  </si>
  <si>
    <t>F950042202464278</t>
  </si>
  <si>
    <t>胡全贞</t>
  </si>
  <si>
    <t>F950042272152208</t>
  </si>
  <si>
    <t>胡克琼</t>
  </si>
  <si>
    <t>胡克琼,刘春燕,欧玉莹,欧美佳,欧光利</t>
  </si>
  <si>
    <t>F950042495589584</t>
  </si>
  <si>
    <t>周成春</t>
  </si>
  <si>
    <t>F950042979026748</t>
  </si>
  <si>
    <t>周大珍</t>
  </si>
  <si>
    <t>F950043314808310</t>
  </si>
  <si>
    <t>宋连玉</t>
  </si>
  <si>
    <t>宋连玉,唐春,唐先华,唐尹熙</t>
  </si>
  <si>
    <t>F950044234339540</t>
  </si>
  <si>
    <t>马顺珍</t>
  </si>
  <si>
    <t>F950044551995864</t>
  </si>
  <si>
    <t>杨久福</t>
  </si>
  <si>
    <t>F950044742776979</t>
  </si>
  <si>
    <t>胡全贵</t>
  </si>
  <si>
    <t>胡其,甄尚秀,胡全贵</t>
  </si>
  <si>
    <t>F950044843558187</t>
  </si>
  <si>
    <t>周银珍</t>
  </si>
  <si>
    <t>周银珍,袁成不</t>
  </si>
  <si>
    <t>F975821180110509</t>
  </si>
  <si>
    <t>张玉琼</t>
  </si>
  <si>
    <t>张玉琼,张素芬</t>
  </si>
  <si>
    <t>F975827109739408</t>
  </si>
  <si>
    <t>周成高</t>
  </si>
  <si>
    <t>周显光,周成高,胡凤金,周眉君,周琳棋</t>
  </si>
  <si>
    <t>F975840247219996</t>
  </si>
  <si>
    <t>胡克贵</t>
  </si>
  <si>
    <t>胡克贵,胡会</t>
  </si>
  <si>
    <t>F998621515252235</t>
  </si>
  <si>
    <t>蒋天全</t>
  </si>
  <si>
    <t>蒋天全,蒋黄燕,胡其秀</t>
  </si>
  <si>
    <t>F174075358257940</t>
  </si>
  <si>
    <t>箭板镇</t>
  </si>
  <si>
    <t>中和村委会</t>
  </si>
  <si>
    <t>曾明清</t>
  </si>
  <si>
    <t>F174081212907884</t>
  </si>
  <si>
    <t>彭兴瑞</t>
  </si>
  <si>
    <t>F210873775289269</t>
  </si>
  <si>
    <t>王永珍</t>
  </si>
  <si>
    <t>曾洁银,曾洁玲,曾明和,王永珍</t>
  </si>
  <si>
    <t>F210878937945392</t>
  </si>
  <si>
    <t>罗学英</t>
  </si>
  <si>
    <t>陈萌,罗学英</t>
  </si>
  <si>
    <t>F210882740289185</t>
  </si>
  <si>
    <t>彭玉光</t>
  </si>
  <si>
    <t>彭宗贵,黄宗连,彭玉光</t>
  </si>
  <si>
    <t>F228012141339280</t>
  </si>
  <si>
    <t>薛大明</t>
  </si>
  <si>
    <t>薛大明,王昌招</t>
  </si>
  <si>
    <t>F471457503767973</t>
  </si>
  <si>
    <t>周德光</t>
  </si>
  <si>
    <t>周荣江,周德光</t>
  </si>
  <si>
    <t>F934078180713454</t>
  </si>
  <si>
    <t>胡小琼</t>
  </si>
  <si>
    <t>王鹏,王妍,胡小琼,彭明秀</t>
  </si>
  <si>
    <t>F949984318714211</t>
  </si>
  <si>
    <t>王云武</t>
  </si>
  <si>
    <t>F950009625901727</t>
  </si>
  <si>
    <t>彭宗海</t>
  </si>
  <si>
    <t>F950011566995787</t>
  </si>
  <si>
    <t>肖世兵</t>
  </si>
  <si>
    <t>肖世兵,肖洁,肖诗琪,肖世洪</t>
  </si>
  <si>
    <t>F950013669183326</t>
  </si>
  <si>
    <t>张永珍</t>
  </si>
  <si>
    <t>F950014901526646</t>
  </si>
  <si>
    <t>王云彩</t>
  </si>
  <si>
    <t>F950015122620758</t>
  </si>
  <si>
    <t>彭国芳</t>
  </si>
  <si>
    <t>F950015199807881</t>
  </si>
  <si>
    <t>彭宗林</t>
  </si>
  <si>
    <t>F950020567464325</t>
  </si>
  <si>
    <t>苟光启</t>
  </si>
  <si>
    <t>苟光启,吴成根,吴成旭</t>
  </si>
  <si>
    <t>F950024228558208</t>
  </si>
  <si>
    <t>王洪武</t>
  </si>
  <si>
    <t>F950024791214314</t>
  </si>
  <si>
    <t>王贵春</t>
  </si>
  <si>
    <t>F950024993401844</t>
  </si>
  <si>
    <t>王贵海</t>
  </si>
  <si>
    <t>王红,王贵海,张超为</t>
  </si>
  <si>
    <t>F950025254808668</t>
  </si>
  <si>
    <t>吴仕琼</t>
  </si>
  <si>
    <t>F950027176996907</t>
  </si>
  <si>
    <t>王玉连</t>
  </si>
  <si>
    <t>F950027818714587</t>
  </si>
  <si>
    <t>兰光清</t>
  </si>
  <si>
    <t>F950030153245518</t>
  </si>
  <si>
    <t>白永志</t>
  </si>
  <si>
    <t>白永志,薛启华,白泽华</t>
  </si>
  <si>
    <t>F950031102776621</t>
  </si>
  <si>
    <t>刘芝明</t>
  </si>
  <si>
    <t>F950031150589649</t>
  </si>
  <si>
    <t>张恩才</t>
  </si>
  <si>
    <t>张林,彭香,张恩才</t>
  </si>
  <si>
    <t>F950033720120764</t>
  </si>
  <si>
    <t>黄仁宾</t>
  </si>
  <si>
    <t>F950035766527812</t>
  </si>
  <si>
    <t>胡伯超</t>
  </si>
  <si>
    <t>苟光荣,胡伯超,胡通均</t>
  </si>
  <si>
    <t>F950036447464389</t>
  </si>
  <si>
    <t>彭祖平</t>
  </si>
  <si>
    <t>F950036842151944</t>
  </si>
  <si>
    <t>黄显高</t>
  </si>
  <si>
    <t>F950038327777162</t>
  </si>
  <si>
    <t>薛龙方</t>
  </si>
  <si>
    <t>F950038971683471</t>
  </si>
  <si>
    <t>王贵堂</t>
  </si>
  <si>
    <t>王贵堂,王秀红</t>
  </si>
  <si>
    <t>F950039085120918</t>
  </si>
  <si>
    <t>曾明宽</t>
  </si>
  <si>
    <t>F950040094964157</t>
  </si>
  <si>
    <t>陈大英</t>
  </si>
  <si>
    <t>F950040167308535</t>
  </si>
  <si>
    <t>黄宗成</t>
  </si>
  <si>
    <t>黄宗成,黄家慧</t>
  </si>
  <si>
    <t>F950040757151816</t>
  </si>
  <si>
    <t>兰光顺</t>
  </si>
  <si>
    <t>F950042282464644</t>
  </si>
  <si>
    <t>吴振邦</t>
  </si>
  <si>
    <t>F950042426058061</t>
  </si>
  <si>
    <t>彭柯芸</t>
  </si>
  <si>
    <t>F950043027308455</t>
  </si>
  <si>
    <t>杨荣彬</t>
  </si>
  <si>
    <t>F950043151214568</t>
  </si>
  <si>
    <t>吴振高</t>
  </si>
  <si>
    <t>F950043353089839</t>
  </si>
  <si>
    <t>王树英</t>
  </si>
  <si>
    <t>F950044258714649</t>
  </si>
  <si>
    <t>F228019468058079</t>
  </si>
  <si>
    <t>安乐村委会</t>
  </si>
  <si>
    <t>张光清</t>
  </si>
  <si>
    <t>徐吉琴,张云希,张光清,罗静,张睿宸</t>
  </si>
  <si>
    <t>F228030678058033</t>
  </si>
  <si>
    <t>唐宗孝</t>
  </si>
  <si>
    <t>唐宗孝,王昌秀,唐宗开</t>
  </si>
  <si>
    <t>F228107538175722</t>
  </si>
  <si>
    <t>吴承宪</t>
  </si>
  <si>
    <t>吴瑞恒,吴浩文,吴承宪</t>
  </si>
  <si>
    <t>F228112907745765</t>
  </si>
  <si>
    <t>吴启双</t>
  </si>
  <si>
    <t>吴茂萍,吴启双,吴荣星</t>
  </si>
  <si>
    <t>F234567104046052</t>
  </si>
  <si>
    <t>吴承伍</t>
  </si>
  <si>
    <t>F260184654191152</t>
  </si>
  <si>
    <t>薛龙兵</t>
  </si>
  <si>
    <t>吕玉聪,薛洪,薛龙兵</t>
  </si>
  <si>
    <t>F260188569815603</t>
  </si>
  <si>
    <t>王光富</t>
  </si>
  <si>
    <t>F356948348316822</t>
  </si>
  <si>
    <t>吴承根</t>
  </si>
  <si>
    <t>吴丁,吴承根,吴浩,李文秀,吴俊宏</t>
  </si>
  <si>
    <t>F356964278824376</t>
  </si>
  <si>
    <t>倪先均</t>
  </si>
  <si>
    <t>张超,张庆,倪先均</t>
  </si>
  <si>
    <t>F625085957990536</t>
  </si>
  <si>
    <t>吴承发</t>
  </si>
  <si>
    <t>F625089935607965</t>
  </si>
  <si>
    <t>张明德</t>
  </si>
  <si>
    <t>张番乙,张明德,张明开,黄文春</t>
  </si>
  <si>
    <t>F949982197933100</t>
  </si>
  <si>
    <t>余光华</t>
  </si>
  <si>
    <t>余长付,余光华</t>
  </si>
  <si>
    <t>F949982349495858</t>
  </si>
  <si>
    <t>张光瑜</t>
  </si>
  <si>
    <t>张光瑜,吴国琼</t>
  </si>
  <si>
    <t>F949986114026920</t>
  </si>
  <si>
    <t>张群</t>
  </si>
  <si>
    <t>张开心,陈宗富,张群</t>
  </si>
  <si>
    <t>F949986125901996</t>
  </si>
  <si>
    <t>吴承银</t>
  </si>
  <si>
    <t>吴邱霞,吴承银,吴启富,吴荣,李晓容,吴会</t>
  </si>
  <si>
    <t>F949988378870498</t>
  </si>
  <si>
    <t>王德华</t>
  </si>
  <si>
    <t>F950009712776805</t>
  </si>
  <si>
    <t>吴承刚</t>
  </si>
  <si>
    <t>吴承刚,薛希容,吴旭红,吴兴平</t>
  </si>
  <si>
    <t>F950011485276860</t>
  </si>
  <si>
    <t>张美义</t>
  </si>
  <si>
    <t>F950013437620906</t>
  </si>
  <si>
    <t>吴进光</t>
  </si>
  <si>
    <t>康孝珍,吴进光</t>
  </si>
  <si>
    <t>F950014592932904</t>
  </si>
  <si>
    <t>甄达招</t>
  </si>
  <si>
    <t>F950014714652044</t>
  </si>
  <si>
    <t>吴继成</t>
  </si>
  <si>
    <t>吴继成,张大贵</t>
  </si>
  <si>
    <t>F950015107308570</t>
  </si>
  <si>
    <t>吴承洋</t>
  </si>
  <si>
    <t>吴承洋,吴江,牟泽书,吴平</t>
  </si>
  <si>
    <t>F950015260120407</t>
  </si>
  <si>
    <t>王明计</t>
  </si>
  <si>
    <t>王明计,王煜鑫</t>
  </si>
  <si>
    <t>F950015441526879</t>
  </si>
  <si>
    <t>张光平</t>
  </si>
  <si>
    <t>张明朋,张光平,黄宗莲</t>
  </si>
  <si>
    <t>F950015823870431</t>
  </si>
  <si>
    <t>吴承春</t>
  </si>
  <si>
    <t>F950016327933214</t>
  </si>
  <si>
    <t>张大清</t>
  </si>
  <si>
    <t>F950018461214873</t>
  </si>
  <si>
    <t>吴承元</t>
  </si>
  <si>
    <t>吴春燕,吴启秀,吴承元</t>
  </si>
  <si>
    <t>F950020308558239</t>
  </si>
  <si>
    <t>王德军</t>
  </si>
  <si>
    <t>王德军,吴立贵</t>
  </si>
  <si>
    <t>F950020468402133</t>
  </si>
  <si>
    <t>王化强</t>
  </si>
  <si>
    <t>朱清秀,王化强</t>
  </si>
  <si>
    <t>F950020587308375</t>
  </si>
  <si>
    <t>陈兆华</t>
  </si>
  <si>
    <t>胡凤珍,陈兆华,陈钇文</t>
  </si>
  <si>
    <t>F950022397777099</t>
  </si>
  <si>
    <t>王昌乾</t>
  </si>
  <si>
    <t>王昌乾,王孟林</t>
  </si>
  <si>
    <t>F950022715589611</t>
  </si>
  <si>
    <t>吴兴金</t>
  </si>
  <si>
    <t>F950025198870472</t>
  </si>
  <si>
    <t>张大荣</t>
  </si>
  <si>
    <t>甄贵兰,张大荣</t>
  </si>
  <si>
    <t>F950026622308111</t>
  </si>
  <si>
    <t>钟朝润</t>
  </si>
  <si>
    <t>黄学琼,何远阳,钟朝润,何芳,何明学,孟奕轩</t>
  </si>
  <si>
    <t>F950027226683123</t>
  </si>
  <si>
    <t>吴承恩</t>
  </si>
  <si>
    <t>F950027871839444</t>
  </si>
  <si>
    <t>吴承佑</t>
  </si>
  <si>
    <t>F950028442308253</t>
  </si>
  <si>
    <t>吴启华</t>
  </si>
  <si>
    <t>彭翠华,吴启华,吴荣杰,吴云芳,吴林虎,吴承炯,龚小容</t>
  </si>
  <si>
    <t>F950028448714534</t>
  </si>
  <si>
    <t>张光招</t>
  </si>
  <si>
    <t>张光招,余登贵,张明炯</t>
  </si>
  <si>
    <t>F950028551995815</t>
  </si>
  <si>
    <t>胡贵珍</t>
  </si>
  <si>
    <t>廖贵坤,廖志君,胡贵珍</t>
  </si>
  <si>
    <t>F950028583870905</t>
  </si>
  <si>
    <t>张长清</t>
  </si>
  <si>
    <t>F950029014183266</t>
  </si>
  <si>
    <t>唐维平</t>
  </si>
  <si>
    <t>曾琼帮,唐维平,唐草山</t>
  </si>
  <si>
    <t>F950029974495440</t>
  </si>
  <si>
    <t>吴启云</t>
  </si>
  <si>
    <t>吴荣相,吴启云,吴荣章</t>
  </si>
  <si>
    <t>F950030001058170</t>
  </si>
  <si>
    <t>喻福英</t>
  </si>
  <si>
    <t>F950030564183251</t>
  </si>
  <si>
    <t>王昌正</t>
  </si>
  <si>
    <t>王昌正,王德才,周大芬,王萧,王桐熙,刘建琼,周佳玲</t>
  </si>
  <si>
    <t>F950031027620785</t>
  </si>
  <si>
    <t>王德常</t>
  </si>
  <si>
    <t>王德常,王颖,王泽银</t>
  </si>
  <si>
    <t>F950031205901808</t>
  </si>
  <si>
    <t>吴承立</t>
  </si>
  <si>
    <t>F950031813714335</t>
  </si>
  <si>
    <t>张明书</t>
  </si>
  <si>
    <t>张明书,张明桃</t>
  </si>
  <si>
    <t>F950032042776820</t>
  </si>
  <si>
    <t>张小英</t>
  </si>
  <si>
    <t>F950032175276887</t>
  </si>
  <si>
    <t>吴承立,曹永连</t>
  </si>
  <si>
    <t>F950032553558097</t>
  </si>
  <si>
    <t>胡加伯</t>
  </si>
  <si>
    <t>吴静,吴仕兴,胡加伯,吴真和,胡兴容</t>
  </si>
  <si>
    <t>F950033085276832</t>
  </si>
  <si>
    <t>唐玉宗</t>
  </si>
  <si>
    <t>唐玉宗,薛芳,唐一鑫,唐平金</t>
  </si>
  <si>
    <t>F950033711683788</t>
  </si>
  <si>
    <t>吴永生</t>
  </si>
  <si>
    <t>吴忠,吴永生</t>
  </si>
  <si>
    <t>F950033900745510</t>
  </si>
  <si>
    <t>蔡开英</t>
  </si>
  <si>
    <t>蔡开英,王勇</t>
  </si>
  <si>
    <t>F950034440745319</t>
  </si>
  <si>
    <t>李天琼</t>
  </si>
  <si>
    <t>F950035039808006</t>
  </si>
  <si>
    <t>吴承跃</t>
  </si>
  <si>
    <t>吴承跃,张金敏,吴启超</t>
  </si>
  <si>
    <t>F950036192151604</t>
  </si>
  <si>
    <t>张明茂</t>
  </si>
  <si>
    <t>F950036479026959</t>
  </si>
  <si>
    <t>吴承华</t>
  </si>
  <si>
    <t>吴承华,曹玉群</t>
  </si>
  <si>
    <t>F950036879183265</t>
  </si>
  <si>
    <t>罗成学</t>
  </si>
  <si>
    <t>陈勇刚,罗成学</t>
  </si>
  <si>
    <t>F950036908089854</t>
  </si>
  <si>
    <t>白泽富</t>
  </si>
  <si>
    <t>F950037906526785</t>
  </si>
  <si>
    <t>吴承明</t>
  </si>
  <si>
    <t>吴飞虎,彭国华,吴承明</t>
  </si>
  <si>
    <t>F950038166370475</t>
  </si>
  <si>
    <t>张兴明</t>
  </si>
  <si>
    <t>张春红,张兴明</t>
  </si>
  <si>
    <t>F950038216371014</t>
  </si>
  <si>
    <t>张明龙</t>
  </si>
  <si>
    <t>张光瑶,张明龙,王云珍</t>
  </si>
  <si>
    <t>F950041159026899</t>
  </si>
  <si>
    <t>白泽琼</t>
  </si>
  <si>
    <t>F950042001370378</t>
  </si>
  <si>
    <t>张勤</t>
  </si>
  <si>
    <t>F950042638401734</t>
  </si>
  <si>
    <t>张汝文</t>
  </si>
  <si>
    <t>张汝文,曹学会,张明友,张桂</t>
  </si>
  <si>
    <t>F950042960745558</t>
  </si>
  <si>
    <t>王昌明</t>
  </si>
  <si>
    <t>F950043924339313</t>
  </si>
  <si>
    <t>钟荣华</t>
  </si>
  <si>
    <t>F950043961527345</t>
  </si>
  <si>
    <t>吴继彪</t>
  </si>
  <si>
    <t>吴继彪,陈光玉</t>
  </si>
  <si>
    <t>F950044093245389</t>
  </si>
  <si>
    <t>张光和</t>
  </si>
  <si>
    <t>F950044363714247</t>
  </si>
  <si>
    <t>王德福</t>
  </si>
  <si>
    <t>王春苹,王德福,胡克珍</t>
  </si>
  <si>
    <t>F950044645120273</t>
  </si>
  <si>
    <t>黄学莲</t>
  </si>
  <si>
    <t>黄学莲,莫兴连</t>
  </si>
  <si>
    <t>F973303713567469</t>
  </si>
  <si>
    <t>周大福</t>
  </si>
  <si>
    <t>周大福,周晓雨,陈淑芳</t>
  </si>
  <si>
    <t>F229026352917857</t>
  </si>
  <si>
    <t>庆元村委会</t>
  </si>
  <si>
    <t>胡正钱</t>
  </si>
  <si>
    <t>余永海,余春梅,胡正钱</t>
  </si>
  <si>
    <t>F229071535417852</t>
  </si>
  <si>
    <t>胡家顺</t>
  </si>
  <si>
    <t>胡学文,胡家顺,董小慧</t>
  </si>
  <si>
    <t>F229074738386498</t>
  </si>
  <si>
    <t>易世和</t>
  </si>
  <si>
    <t>易世和,易文轩,易桂宇,傅小容</t>
  </si>
  <si>
    <t>F335392892817353</t>
  </si>
  <si>
    <t>彭加富</t>
  </si>
  <si>
    <t>彭昌云,唐梓轩,唐明蓉,罗群,彭加富</t>
  </si>
  <si>
    <t>F335400497348846</t>
  </si>
  <si>
    <t>何勇</t>
  </si>
  <si>
    <t>F469665267739556</t>
  </si>
  <si>
    <t>胡春枝</t>
  </si>
  <si>
    <t>吕现珍,胡春枝</t>
  </si>
  <si>
    <t>F471460519427952</t>
  </si>
  <si>
    <t>刘汉兵</t>
  </si>
  <si>
    <t>刘汉兵,刘润馨,牟红雨,刘俊泓,刘刚</t>
  </si>
  <si>
    <t>F575882477146165</t>
  </si>
  <si>
    <t>唐容</t>
  </si>
  <si>
    <t>杨玉玲,唐容</t>
  </si>
  <si>
    <t>F601406283944248</t>
  </si>
  <si>
    <t>王建平</t>
  </si>
  <si>
    <t>王建平,王旭梅,张成维</t>
  </si>
  <si>
    <t>F704412926087485</t>
  </si>
  <si>
    <t>胡通国</t>
  </si>
  <si>
    <t>胡奕帆,胡通国,李晓琼,胡杰</t>
  </si>
  <si>
    <t>F715183969567848</t>
  </si>
  <si>
    <t>傅茂琴</t>
  </si>
  <si>
    <t>F755806910380496</t>
  </si>
  <si>
    <t>唐轩</t>
  </si>
  <si>
    <t>F759563193097678</t>
  </si>
  <si>
    <t>潘同高</t>
  </si>
  <si>
    <t>F813115620448666</t>
  </si>
  <si>
    <t>翁远君</t>
  </si>
  <si>
    <t>翁艺菲,翁远君,宋福敏</t>
  </si>
  <si>
    <t>F813119165470113</t>
  </si>
  <si>
    <t>牟裕乾</t>
  </si>
  <si>
    <t>牟裕乾,曹光桂</t>
  </si>
  <si>
    <t>F914247138325107</t>
  </si>
  <si>
    <t>范词明</t>
  </si>
  <si>
    <t>范词明,李荣平,范芳梅,范小雨</t>
  </si>
  <si>
    <t>F949982316058067</t>
  </si>
  <si>
    <t>胡其文</t>
  </si>
  <si>
    <t>F949984167464489</t>
  </si>
  <si>
    <t>宋义容</t>
  </si>
  <si>
    <t>宋义容,翁培贵</t>
  </si>
  <si>
    <t>F949989904339446</t>
  </si>
  <si>
    <t>牟长兵</t>
  </si>
  <si>
    <t>牟长兵,张明福</t>
  </si>
  <si>
    <t>F949990014183223</t>
  </si>
  <si>
    <t>翁远容</t>
  </si>
  <si>
    <t>F950009622620653</t>
  </si>
  <si>
    <t>钟贤安</t>
  </si>
  <si>
    <t>罗忠连,钟贤安</t>
  </si>
  <si>
    <t>F950009648246205</t>
  </si>
  <si>
    <t>陈宗全</t>
  </si>
  <si>
    <t>陈钰琴,李玖玉,陈光荣,陈宗全</t>
  </si>
  <si>
    <t>F950009850902185</t>
  </si>
  <si>
    <t>吕德秀</t>
  </si>
  <si>
    <t>F950013082464593</t>
  </si>
  <si>
    <t>任信莲</t>
  </si>
  <si>
    <t>F950013412776676</t>
  </si>
  <si>
    <t>张汝贵</t>
  </si>
  <si>
    <t>张汝贵,张杰</t>
  </si>
  <si>
    <t>F950015016526987</t>
  </si>
  <si>
    <t>翁远权</t>
  </si>
  <si>
    <t>李艳,翁远权,翁浩诚,翁赫</t>
  </si>
  <si>
    <t>F950015173870567</t>
  </si>
  <si>
    <t>黄宗根</t>
  </si>
  <si>
    <t>潘光清,黄宗根</t>
  </si>
  <si>
    <t>F950016416995599</t>
  </si>
  <si>
    <t>陈锦文</t>
  </si>
  <si>
    <t>F950016698557817</t>
  </si>
  <si>
    <t>何恩荣</t>
  </si>
  <si>
    <t>F950016737620916</t>
  </si>
  <si>
    <t>胡自英</t>
  </si>
  <si>
    <t>F950018596682875</t>
  </si>
  <si>
    <t>王建富</t>
  </si>
  <si>
    <t>F950020322620696</t>
  </si>
  <si>
    <t>方全红</t>
  </si>
  <si>
    <t>方全红,何顺林</t>
  </si>
  <si>
    <t>F950020412620585</t>
  </si>
  <si>
    <t>胡正铜</t>
  </si>
  <si>
    <t>F950020739651754</t>
  </si>
  <si>
    <t>方孝云</t>
  </si>
  <si>
    <t>F950022502151531</t>
  </si>
  <si>
    <t>陈海东</t>
  </si>
  <si>
    <t>梁正才,陈海东,陈友根</t>
  </si>
  <si>
    <t>F950024416527171</t>
  </si>
  <si>
    <t>陈远珍</t>
  </si>
  <si>
    <t>F950024596995867</t>
  </si>
  <si>
    <t>陈光忠</t>
  </si>
  <si>
    <t>F950024625745626</t>
  </si>
  <si>
    <t>潘永洪</t>
  </si>
  <si>
    <t>F950024715901678</t>
  </si>
  <si>
    <t>王贞凤</t>
  </si>
  <si>
    <t>F950024826058243</t>
  </si>
  <si>
    <t>张银方</t>
  </si>
  <si>
    <t>张银方,张园</t>
  </si>
  <si>
    <t>F950024974808329</t>
  </si>
  <si>
    <t>张伟,陈光秀</t>
  </si>
  <si>
    <t>F950025274027621</t>
  </si>
  <si>
    <t>王友文</t>
  </si>
  <si>
    <t>王友文,陈朝恒</t>
  </si>
  <si>
    <t>F950026266526563</t>
  </si>
  <si>
    <t>王远林</t>
  </si>
  <si>
    <t>F950026707464833</t>
  </si>
  <si>
    <t>胡正宣</t>
  </si>
  <si>
    <t>胡芮,胡正宣</t>
  </si>
  <si>
    <t>F950028155120699</t>
  </si>
  <si>
    <t>唐代贵</t>
  </si>
  <si>
    <t>唐代贵,唐启荣</t>
  </si>
  <si>
    <t>F950028185589351</t>
  </si>
  <si>
    <t>彭中海</t>
  </si>
  <si>
    <t>彭燕云,彭中海</t>
  </si>
  <si>
    <t>F950028242776723</t>
  </si>
  <si>
    <t>陈登红</t>
  </si>
  <si>
    <t>F950028460901987</t>
  </si>
  <si>
    <t>方孝林</t>
  </si>
  <si>
    <t>王治树,方孝林</t>
  </si>
  <si>
    <t>F950028691839681</t>
  </si>
  <si>
    <t>袁德文</t>
  </si>
  <si>
    <t>袁德文,丁国华</t>
  </si>
  <si>
    <t>F950028711527266</t>
  </si>
  <si>
    <t>曹元清</t>
  </si>
  <si>
    <t>曹元清,李世金</t>
  </si>
  <si>
    <t>F950028892151753</t>
  </si>
  <si>
    <t>傅光金</t>
  </si>
  <si>
    <t>F950029792620893</t>
  </si>
  <si>
    <t>范词银</t>
  </si>
  <si>
    <t>范词银,范笑芳,范林芳</t>
  </si>
  <si>
    <t>F950030042464315</t>
  </si>
  <si>
    <t>方忠成</t>
  </si>
  <si>
    <t>F950030377621309</t>
  </si>
  <si>
    <t>何晓林</t>
  </si>
  <si>
    <t>吴艺涵,吴忠憶,郑术华,何晓林</t>
  </si>
  <si>
    <t>F950030415745671</t>
  </si>
  <si>
    <t>胡家全</t>
  </si>
  <si>
    <t>F950030767465090</t>
  </si>
  <si>
    <t>唐启富</t>
  </si>
  <si>
    <t>唐鹏,唐瑶,唐代荣,唐启富,林贵兰</t>
  </si>
  <si>
    <t>F950030956995921</t>
  </si>
  <si>
    <t>郑代军</t>
  </si>
  <si>
    <t>郑世明,郑代军</t>
  </si>
  <si>
    <t>F950031874026799</t>
  </si>
  <si>
    <t>何恩平</t>
  </si>
  <si>
    <t>何恩平,何友中</t>
  </si>
  <si>
    <t>F950032150901871</t>
  </si>
  <si>
    <t>方孝勤</t>
  </si>
  <si>
    <t>F950032822152059</t>
  </si>
  <si>
    <t>黄友平</t>
  </si>
  <si>
    <t>黄鸿鑫,黄德和,黄友平</t>
  </si>
  <si>
    <t>F950032903089526</t>
  </si>
  <si>
    <t>张锦学</t>
  </si>
  <si>
    <t>F950032909027096</t>
  </si>
  <si>
    <t>邓清海</t>
  </si>
  <si>
    <t>F950034174339908</t>
  </si>
  <si>
    <t>胡建</t>
  </si>
  <si>
    <t>袁国明,胡正堂,胡建,钟桃,胡金平</t>
  </si>
  <si>
    <t>F950034993870894</t>
  </si>
  <si>
    <t>滕明兵</t>
  </si>
  <si>
    <t>F950035836214407</t>
  </si>
  <si>
    <t>骆永兰</t>
  </si>
  <si>
    <t>F950036763870476</t>
  </si>
  <si>
    <t>黄家琴</t>
  </si>
  <si>
    <t>陈波,黄家琴,陈艳</t>
  </si>
  <si>
    <t>F950036813558379</t>
  </si>
  <si>
    <t>张明英</t>
  </si>
  <si>
    <t>F950037734026884</t>
  </si>
  <si>
    <t>陈朝友</t>
  </si>
  <si>
    <t>F950038206995595</t>
  </si>
  <si>
    <t>李世明</t>
  </si>
  <si>
    <t>F950038268870753</t>
  </si>
  <si>
    <t>胡在英</t>
  </si>
  <si>
    <t>F950040239495577</t>
  </si>
  <si>
    <t>袁书华</t>
  </si>
  <si>
    <t>袁书华,袁华福</t>
  </si>
  <si>
    <t>F950041089964576</t>
  </si>
  <si>
    <t>胡家林</t>
  </si>
  <si>
    <t>胡家林,胡兴玉,袁成光,胡兴正</t>
  </si>
  <si>
    <t>F950042786683671</t>
  </si>
  <si>
    <t>F950042819027555</t>
  </si>
  <si>
    <t>宋义英</t>
  </si>
  <si>
    <t>胡正章,宋义英</t>
  </si>
  <si>
    <t>F950044413714409</t>
  </si>
  <si>
    <t>胡正军</t>
  </si>
  <si>
    <t>F950044655120811</t>
  </si>
  <si>
    <t>牟建兵</t>
  </si>
  <si>
    <t>F229872655184304</t>
  </si>
  <si>
    <t>行路村委会</t>
  </si>
  <si>
    <t>唐学峰</t>
  </si>
  <si>
    <t>唐学峰,唐俊豪</t>
  </si>
  <si>
    <t>F229895639403451</t>
  </si>
  <si>
    <t>唐什荣</t>
  </si>
  <si>
    <t>唐什荣,叶清珍,唐世平</t>
  </si>
  <si>
    <t>F229912230184317</t>
  </si>
  <si>
    <t>陈光海</t>
  </si>
  <si>
    <t>F229986248874874</t>
  </si>
  <si>
    <t>翁隆贵</t>
  </si>
  <si>
    <t>翁隆贵,翁钰林,翁远波</t>
  </si>
  <si>
    <t>F229998909323817</t>
  </si>
  <si>
    <t>罗玉容</t>
  </si>
  <si>
    <t>陈薪谣,陈鹏颖,陈韵禧,罗玉容</t>
  </si>
  <si>
    <t>F312604174324287</t>
  </si>
  <si>
    <t>翁隆英</t>
  </si>
  <si>
    <t>翁隆英,陈顺漾,陈兴贵</t>
  </si>
  <si>
    <t>F336049641593154</t>
  </si>
  <si>
    <t>兰明金</t>
  </si>
  <si>
    <t>兰明金,兰文昊</t>
  </si>
  <si>
    <t>F337603276513117</t>
  </si>
  <si>
    <t>郑隆琼</t>
  </si>
  <si>
    <t>吕郑,郑隆琼</t>
  </si>
  <si>
    <t>F550095636571788</t>
  </si>
  <si>
    <t>兰明军</t>
  </si>
  <si>
    <t>兰明军,兰飞龙,宋仁英</t>
  </si>
  <si>
    <t>F575883933864895</t>
  </si>
  <si>
    <t>陈全权</t>
  </si>
  <si>
    <t>F759561151181276</t>
  </si>
  <si>
    <t>何芯锐</t>
  </si>
  <si>
    <t>F890676594909569</t>
  </si>
  <si>
    <t>翁隆全</t>
  </si>
  <si>
    <t>杨在英,翁隆全,翁擎川,翁瑜霞,翁建华,翁桂莲,陈登凤</t>
  </si>
  <si>
    <t>F934076543838649</t>
  </si>
  <si>
    <t>翁龙福</t>
  </si>
  <si>
    <t>翁龙福,管福秀,陈光友,陈虹霓</t>
  </si>
  <si>
    <t>F940816145877259</t>
  </si>
  <si>
    <t>李平</t>
  </si>
  <si>
    <t>向东琴,李平,李永洁,李家才,李永强</t>
  </si>
  <si>
    <t>F940826023740139</t>
  </si>
  <si>
    <t>兰明兴</t>
  </si>
  <si>
    <t>F943249030708631</t>
  </si>
  <si>
    <t>唐小平</t>
  </si>
  <si>
    <t>唐思缘,唐民江,唐小平,丁加秀</t>
  </si>
  <si>
    <t>F949989898402409</t>
  </si>
  <si>
    <t>王永光</t>
  </si>
  <si>
    <t>王永光,王春燕</t>
  </si>
  <si>
    <t>F950013580433498</t>
  </si>
  <si>
    <t>牟兴华</t>
  </si>
  <si>
    <t>牟兴华,黄显英,牟林</t>
  </si>
  <si>
    <t>F950013712151855</t>
  </si>
  <si>
    <t>胡兴云</t>
  </si>
  <si>
    <t>黄桂玉,胡兴云,胡洪桂</t>
  </si>
  <si>
    <t>F950014851214940</t>
  </si>
  <si>
    <t>康克玉</t>
  </si>
  <si>
    <t>管萧尘,康克玉,管娅婷</t>
  </si>
  <si>
    <t>F950014907464219</t>
  </si>
  <si>
    <t>陈春义</t>
  </si>
  <si>
    <t>F950015110589489</t>
  </si>
  <si>
    <t>王远贵</t>
  </si>
  <si>
    <t>蒋玉珍,王远贵</t>
  </si>
  <si>
    <t>F950018404651581</t>
  </si>
  <si>
    <t>黄福清</t>
  </si>
  <si>
    <t>F950018418089302</t>
  </si>
  <si>
    <t>黄元培</t>
  </si>
  <si>
    <t>F950020373557635</t>
  </si>
  <si>
    <t>何同培</t>
  </si>
  <si>
    <t>张明英,何秋艺,何心全,何同培,何秀丽</t>
  </si>
  <si>
    <t>F950020613557816</t>
  </si>
  <si>
    <t>陈光富</t>
  </si>
  <si>
    <t>陈光富,周显东</t>
  </si>
  <si>
    <t>F950025816683070</t>
  </si>
  <si>
    <t>管光洪</t>
  </si>
  <si>
    <t>管舒潼,管光洪,吴凯珍,管舒锌</t>
  </si>
  <si>
    <t>F950026483089477</t>
  </si>
  <si>
    <t>林锡军</t>
  </si>
  <si>
    <t>F950026868401613</t>
  </si>
  <si>
    <t>孙安荣</t>
  </si>
  <si>
    <t>F950027194027250</t>
  </si>
  <si>
    <t>姚昌明</t>
  </si>
  <si>
    <t>姚昌明,曾正玉,姚洪,姚胜兵,王福珍</t>
  </si>
  <si>
    <t>F950029009183191</t>
  </si>
  <si>
    <t>薛善均</t>
  </si>
  <si>
    <t>杨万坤,薛善银,薛杨,薛善均</t>
  </si>
  <si>
    <t>F950030764339513</t>
  </si>
  <si>
    <t>胡通强</t>
  </si>
  <si>
    <t>F950030822776806</t>
  </si>
  <si>
    <t>管润光</t>
  </si>
  <si>
    <t>F950032156682787</t>
  </si>
  <si>
    <t>薛善友</t>
  </si>
  <si>
    <t>F950032526370538</t>
  </si>
  <si>
    <t>曾自海</t>
  </si>
  <si>
    <t>曾自海,宋义培</t>
  </si>
  <si>
    <t>F950033175589635</t>
  </si>
  <si>
    <t>黄寿军</t>
  </si>
  <si>
    <t>张成玉,黄寿军</t>
  </si>
  <si>
    <t>F950033962621056</t>
  </si>
  <si>
    <t>管成光</t>
  </si>
  <si>
    <t>F950034211682867</t>
  </si>
  <si>
    <t>唐仕凤</t>
  </si>
  <si>
    <t>F950036495433112</t>
  </si>
  <si>
    <t>管克洪</t>
  </si>
  <si>
    <t>F950036567308187</t>
  </si>
  <si>
    <t>刘启树</t>
  </si>
  <si>
    <t>何大莲,刘启树</t>
  </si>
  <si>
    <t>F950036870120468</t>
  </si>
  <si>
    <t>夏秀洪</t>
  </si>
  <si>
    <t>夏秀洪,陈莲英,陈建国</t>
  </si>
  <si>
    <t>F950036895589438</t>
  </si>
  <si>
    <t>傅兴家</t>
  </si>
  <si>
    <t>F950038956370859</t>
  </si>
  <si>
    <t>兰明贵</t>
  </si>
  <si>
    <t>兰明贵,兰红斌</t>
  </si>
  <si>
    <t>F950040232464059</t>
  </si>
  <si>
    <t>F950040313714884</t>
  </si>
  <si>
    <t>孙安贵</t>
  </si>
  <si>
    <t>F950040869808003</t>
  </si>
  <si>
    <t>刘小琼</t>
  </si>
  <si>
    <t>胡杰凯,刘小琼,曹远华</t>
  </si>
  <si>
    <t>F950040995902500</t>
  </si>
  <si>
    <t>曹远珍</t>
  </si>
  <si>
    <t>F950041170433268</t>
  </si>
  <si>
    <t>张书强</t>
  </si>
  <si>
    <t>杨盛华,张镇麒,杨明英,张九园,牟兴容,张书强,张玉芳</t>
  </si>
  <si>
    <t>F950042045589625</t>
  </si>
  <si>
    <t>牟玉贵</t>
  </si>
  <si>
    <t>F950042844808453</t>
  </si>
  <si>
    <t>牟玉凤</t>
  </si>
  <si>
    <t>牟玉凤,胡珍琼</t>
  </si>
  <si>
    <t>F950044848870647</t>
  </si>
  <si>
    <t>薛善文</t>
  </si>
  <si>
    <t>薛嫄佳,薛善文,薛善云,薛明清</t>
  </si>
  <si>
    <t>F973307919124066</t>
  </si>
  <si>
    <t>何大满</t>
  </si>
  <si>
    <t>何大满,何思奇</t>
  </si>
  <si>
    <t>F994734414651771</t>
  </si>
  <si>
    <t>李光秀</t>
  </si>
  <si>
    <t>F994741068871091</t>
  </si>
  <si>
    <t>吕德彬</t>
  </si>
  <si>
    <t>F177147274935122</t>
  </si>
  <si>
    <t>五星村委会</t>
  </si>
  <si>
    <t>袁树荣</t>
  </si>
  <si>
    <t>F207782703875371</t>
  </si>
  <si>
    <t>陈永发</t>
  </si>
  <si>
    <t>F228796981198922</t>
  </si>
  <si>
    <t>柳书贵</t>
  </si>
  <si>
    <t>柳书贵,周兴春,柳正和</t>
  </si>
  <si>
    <t>F228801537136284</t>
  </si>
  <si>
    <t>何大辉</t>
  </si>
  <si>
    <t>何同举,何大辉</t>
  </si>
  <si>
    <t>F228805026667486</t>
  </si>
  <si>
    <t>陈文伦</t>
  </si>
  <si>
    <t>F228809505418246</t>
  </si>
  <si>
    <t>黄山学</t>
  </si>
  <si>
    <t>F232259882683192</t>
  </si>
  <si>
    <t>袁山贵</t>
  </si>
  <si>
    <t>王令,袁再兴,袁松,袁晓琴,袁山富,袁山贵,莫礼贵</t>
  </si>
  <si>
    <t>F232719504558759</t>
  </si>
  <si>
    <t>陈明友</t>
  </si>
  <si>
    <t>陈明友,杨水英,陈国云,陈树银,陈明银</t>
  </si>
  <si>
    <t>F232726232761740</t>
  </si>
  <si>
    <t>钟立福</t>
  </si>
  <si>
    <t>何小容,钟立福</t>
  </si>
  <si>
    <t>F232733998288816</t>
  </si>
  <si>
    <t>周德阳</t>
  </si>
  <si>
    <t>周宇,周德阳,苟远琼,周荣洪,周银光,周滟,陈几珍</t>
  </si>
  <si>
    <t>F259669319983317</t>
  </si>
  <si>
    <t>彭宗彬</t>
  </si>
  <si>
    <t>彭宗彬,彭岳飞,吴宇昂,曾安秀,吴予诺</t>
  </si>
  <si>
    <t>F312606377274839</t>
  </si>
  <si>
    <t>黄翠容</t>
  </si>
  <si>
    <t>F337606644816323</t>
  </si>
  <si>
    <t>吴仕华</t>
  </si>
  <si>
    <t>苟美玲,吴仕华,苟立忠</t>
  </si>
  <si>
    <t>F356943897867210</t>
  </si>
  <si>
    <t>唐仲德</t>
  </si>
  <si>
    <t>唐明芳,张宇欣,唐仲德</t>
  </si>
  <si>
    <t>F447888707972297</t>
  </si>
  <si>
    <t>廖玉明</t>
  </si>
  <si>
    <t>廖玉明,廖易飞</t>
  </si>
  <si>
    <t>F496533435957952</t>
  </si>
  <si>
    <t>杨忠清</t>
  </si>
  <si>
    <t>杨忠清,罗怀金</t>
  </si>
  <si>
    <t>F612521521278715</t>
  </si>
  <si>
    <t>曾晓洋</t>
  </si>
  <si>
    <t>F654977768660228</t>
  </si>
  <si>
    <t>雷发春</t>
  </si>
  <si>
    <t>F704920090736803</t>
  </si>
  <si>
    <t>曾国田</t>
  </si>
  <si>
    <t>曾国田,曾大海,曾杰鑫</t>
  </si>
  <si>
    <t>F715188377511633</t>
  </si>
  <si>
    <t>袁华钊</t>
  </si>
  <si>
    <t>F949984238404324</t>
  </si>
  <si>
    <t>张仕军</t>
  </si>
  <si>
    <t>陈良富,余元述,张道富,张仕军</t>
  </si>
  <si>
    <t>F950011795901772</t>
  </si>
  <si>
    <t>陈光兵</t>
  </si>
  <si>
    <t>F950014981683348</t>
  </si>
  <si>
    <t>管六元</t>
  </si>
  <si>
    <t>管六元,管旭东,管旭云</t>
  </si>
  <si>
    <t>F950015230432804</t>
  </si>
  <si>
    <t>唐光全</t>
  </si>
  <si>
    <t>F950015285120838</t>
  </si>
  <si>
    <t>颜红英</t>
  </si>
  <si>
    <t>黄河荣,颜红英</t>
  </si>
  <si>
    <t>F950015701370775</t>
  </si>
  <si>
    <t>陈义元</t>
  </si>
  <si>
    <t>陈义元,袁国泰,袁华光</t>
  </si>
  <si>
    <t>F950016632308047</t>
  </si>
  <si>
    <t>张明根</t>
  </si>
  <si>
    <t>F950018326214589</t>
  </si>
  <si>
    <t>邓明贤</t>
  </si>
  <si>
    <t>F950018395751676</t>
  </si>
  <si>
    <t>吴佰滨</t>
  </si>
  <si>
    <t>吴佰滨,吴谦,吴先念</t>
  </si>
  <si>
    <t>F950018439652260</t>
  </si>
  <si>
    <t>周德贵</t>
  </si>
  <si>
    <t>周德贵,周子雲,周荣吉,苟德琼</t>
  </si>
  <si>
    <t>F950018591058859</t>
  </si>
  <si>
    <t>何大前</t>
  </si>
  <si>
    <t>何大前,何雨娟,何桐慧</t>
  </si>
  <si>
    <t>F950018633401848</t>
  </si>
  <si>
    <t>陈良发</t>
  </si>
  <si>
    <t>F950022660120273</t>
  </si>
  <si>
    <t>甄国清</t>
  </si>
  <si>
    <t>F950024496995891</t>
  </si>
  <si>
    <t>张仕兴</t>
  </si>
  <si>
    <t>张仕兴,翁树贵,张俊杰,张道林</t>
  </si>
  <si>
    <t>F950024514339268</t>
  </si>
  <si>
    <t>陈明其</t>
  </si>
  <si>
    <t>兰安斌,陈明其</t>
  </si>
  <si>
    <t>F950024565120454</t>
  </si>
  <si>
    <t>龙海贵</t>
  </si>
  <si>
    <t>龙海贵,李玉珍</t>
  </si>
  <si>
    <t>F950024986995846</t>
  </si>
  <si>
    <t>王贞和</t>
  </si>
  <si>
    <t>F950025221057972</t>
  </si>
  <si>
    <t>李光春</t>
  </si>
  <si>
    <t>李炳钦,李光春</t>
  </si>
  <si>
    <t>F950025227308061</t>
  </si>
  <si>
    <t>钟玉贤</t>
  </si>
  <si>
    <t>彭梦凌,钟玉贤,彭加强,彭瑾萱</t>
  </si>
  <si>
    <t>F950026257464488</t>
  </si>
  <si>
    <t>何大钊</t>
  </si>
  <si>
    <t>何冬梅,何大钊</t>
  </si>
  <si>
    <t>F950027174496856</t>
  </si>
  <si>
    <t>周洪先</t>
  </si>
  <si>
    <t>罗显贵,周洪先</t>
  </si>
  <si>
    <t>F950028941839492</t>
  </si>
  <si>
    <t>余禄才</t>
  </si>
  <si>
    <t>余尾,余禄才</t>
  </si>
  <si>
    <t>F950029086683256</t>
  </si>
  <si>
    <t>杨忠兰</t>
  </si>
  <si>
    <t>何世琼,杨智云,杨忠兰</t>
  </si>
  <si>
    <t>F950029108401638</t>
  </si>
  <si>
    <t>曾安华</t>
  </si>
  <si>
    <t>王玉昭,曾安华,曾王容</t>
  </si>
  <si>
    <t>F950029159964557</t>
  </si>
  <si>
    <t>翁培兴</t>
  </si>
  <si>
    <t>陈明旭,翁培兴,周燕霞</t>
  </si>
  <si>
    <t>F950029198714542</t>
  </si>
  <si>
    <t>彭成学</t>
  </si>
  <si>
    <t>彭成富,彭成学,彭家洪</t>
  </si>
  <si>
    <t>F950029776214303</t>
  </si>
  <si>
    <t>龚绍群</t>
  </si>
  <si>
    <t>龚绍群,李正旭,李唯</t>
  </si>
  <si>
    <t>F950031085276892</t>
  </si>
  <si>
    <t>陈述华</t>
  </si>
  <si>
    <t>陈述华,陈彬</t>
  </si>
  <si>
    <t>F950032080745749</t>
  </si>
  <si>
    <t>王志琴</t>
  </si>
  <si>
    <t>苟海银,苟达文,苟宇浩,王志琴,苟德寿</t>
  </si>
  <si>
    <t>F950032190120618</t>
  </si>
  <si>
    <t>李林宣,宋小芳,李强,李林慧</t>
  </si>
  <si>
    <t>F950032309027508</t>
  </si>
  <si>
    <t>吴佰勋</t>
  </si>
  <si>
    <t>F950032475745887</t>
  </si>
  <si>
    <t>袁庆</t>
  </si>
  <si>
    <t>袁庆,袁华塘</t>
  </si>
  <si>
    <t>F950032590901936</t>
  </si>
  <si>
    <t>陈贤华</t>
  </si>
  <si>
    <t>陈贤华,周继荣</t>
  </si>
  <si>
    <t>F950033054651752</t>
  </si>
  <si>
    <t>雷先琴</t>
  </si>
  <si>
    <t>F950033965120717</t>
  </si>
  <si>
    <t>刘江河</t>
  </si>
  <si>
    <t>刘运凡,刘江河</t>
  </si>
  <si>
    <t>F950034843245381</t>
  </si>
  <si>
    <t>杨贤贵</t>
  </si>
  <si>
    <t>杨沛平,丁纯满,杨惠清,杨贤贵</t>
  </si>
  <si>
    <t>F950034885120846</t>
  </si>
  <si>
    <t>李国言</t>
  </si>
  <si>
    <t>F950035106526611</t>
  </si>
  <si>
    <t>李光和</t>
  </si>
  <si>
    <t>F950035140901822</t>
  </si>
  <si>
    <t>杨伟</t>
  </si>
  <si>
    <t>F950036338089360</t>
  </si>
  <si>
    <t>龚宝华</t>
  </si>
  <si>
    <t>F950036552307701</t>
  </si>
  <si>
    <t>苟立宣</t>
  </si>
  <si>
    <t>苟立宣,苟小秀,包崇莲,苟小琴,游星玥</t>
  </si>
  <si>
    <t>F950036749182920</t>
  </si>
  <si>
    <t>周福全</t>
  </si>
  <si>
    <t>周福全,周福才,周小强,郭几珍</t>
  </si>
  <si>
    <t>F950036943714548</t>
  </si>
  <si>
    <t>吴银珍</t>
  </si>
  <si>
    <t>F950037139027065</t>
  </si>
  <si>
    <t>吴素英</t>
  </si>
  <si>
    <t>F950037179495629</t>
  </si>
  <si>
    <t>张承义</t>
  </si>
  <si>
    <t>张承义,罗秀华</t>
  </si>
  <si>
    <t>F950038185433327</t>
  </si>
  <si>
    <t>翁泽远</t>
  </si>
  <si>
    <t>翁泽远,杨秀英,翁术平</t>
  </si>
  <si>
    <t>F950038676839859</t>
  </si>
  <si>
    <t>李国全</t>
  </si>
  <si>
    <t>李钰兴,李国全</t>
  </si>
  <si>
    <t>F950039199652027</t>
  </si>
  <si>
    <t>杨小军</t>
  </si>
  <si>
    <t>余述芳,杨小军,杨泽</t>
  </si>
  <si>
    <t>F950039222464463</t>
  </si>
  <si>
    <t>张代云</t>
  </si>
  <si>
    <t>F950040152308706</t>
  </si>
  <si>
    <t>彭芝贵</t>
  </si>
  <si>
    <t>苟立芳,彭道文,彭芝贵,彭宇菲</t>
  </si>
  <si>
    <t>F950040334652118</t>
  </si>
  <si>
    <t>F950040455433422</t>
  </si>
  <si>
    <t>翁永平</t>
  </si>
  <si>
    <t>翁传淋,翁永平,张启付</t>
  </si>
  <si>
    <t>F950041047776574</t>
  </si>
  <si>
    <t>黄秀林</t>
  </si>
  <si>
    <t>黄秀林,吴晨希</t>
  </si>
  <si>
    <t>F950042744339591</t>
  </si>
  <si>
    <t>蒋明元</t>
  </si>
  <si>
    <t>F950043131058247</t>
  </si>
  <si>
    <t>黄贵华</t>
  </si>
  <si>
    <t>黄贵华,牟云英</t>
  </si>
  <si>
    <t>F950044410745503</t>
  </si>
  <si>
    <t>毛德文</t>
  </si>
  <si>
    <t>毛文武,余书香,唐明林,毛仁凤,毛德文,毛春燕</t>
  </si>
  <si>
    <t>F950044537151768</t>
  </si>
  <si>
    <t>张伟</t>
  </si>
  <si>
    <t>张伟,张新茹,张红玉</t>
  </si>
  <si>
    <t>F962969562907255</t>
  </si>
  <si>
    <t>苟明均</t>
  </si>
  <si>
    <t>F978695356213873</t>
  </si>
  <si>
    <t>龚兴贵</t>
  </si>
  <si>
    <t>龚兴贵,何大凤</t>
  </si>
  <si>
    <t>F049433688746628</t>
  </si>
  <si>
    <t>尹久村委会</t>
  </si>
  <si>
    <t>邓仕贤</t>
  </si>
  <si>
    <t>F049440092183596</t>
  </si>
  <si>
    <t>牟成富</t>
  </si>
  <si>
    <t>牟成富,陈文银</t>
  </si>
  <si>
    <t>F049488423277351</t>
  </si>
  <si>
    <t>彭中秀</t>
  </si>
  <si>
    <t>F177096859154684</t>
  </si>
  <si>
    <t>陈朝义</t>
  </si>
  <si>
    <t>陈朝义,钟家银,陈树川</t>
  </si>
  <si>
    <t>F177133817747965</t>
  </si>
  <si>
    <t>潘永安</t>
  </si>
  <si>
    <t>潘永安,潘小容,曹光容</t>
  </si>
  <si>
    <t>F177138794466606</t>
  </si>
  <si>
    <t>刘显贵</t>
  </si>
  <si>
    <t>刘显贵,蒋道芳,段光银</t>
  </si>
  <si>
    <t>F200696517074372</t>
  </si>
  <si>
    <t>翁亮林</t>
  </si>
  <si>
    <t>翁亮林,张仕春,张仕强,张红</t>
  </si>
  <si>
    <t>F207773585932670</t>
  </si>
  <si>
    <t>黄超群</t>
  </si>
  <si>
    <t>F207778677507210</t>
  </si>
  <si>
    <t>曹四方</t>
  </si>
  <si>
    <t>F231796590115164</t>
  </si>
  <si>
    <t>蒋龙军</t>
  </si>
  <si>
    <t>蒋龙军,赵品兴,蒋玉光</t>
  </si>
  <si>
    <t>F233114122957073</t>
  </si>
  <si>
    <t>张乾均</t>
  </si>
  <si>
    <t>张乐伊,李丹阳,张宏财,张乾均,姚文友</t>
  </si>
  <si>
    <t>F233155321570178</t>
  </si>
  <si>
    <t>杨德林</t>
  </si>
  <si>
    <t>徐贵林,杨德林</t>
  </si>
  <si>
    <t>F233161012908268</t>
  </si>
  <si>
    <t>蒋贵田</t>
  </si>
  <si>
    <t>蒋宇馨,黄仁凤,蒋贵田</t>
  </si>
  <si>
    <t>F259001207176488</t>
  </si>
  <si>
    <t>任华富</t>
  </si>
  <si>
    <t>丁加银,任华富</t>
  </si>
  <si>
    <t>F259654530405297</t>
  </si>
  <si>
    <t>袁成伍</t>
  </si>
  <si>
    <t>袁小丽,袁成伍,袁岐玲,陈海,袁楚涵</t>
  </si>
  <si>
    <t>F292166158665609</t>
  </si>
  <si>
    <t>袁成南</t>
  </si>
  <si>
    <t>袁成南,吴秀华</t>
  </si>
  <si>
    <t>F335405043910355</t>
  </si>
  <si>
    <t>姚胜财</t>
  </si>
  <si>
    <t>姚旭连,姚琴,姚胜财,姚昌和</t>
  </si>
  <si>
    <t>F368698852755582</t>
  </si>
  <si>
    <t>李文森</t>
  </si>
  <si>
    <t>F625069062512176</t>
  </si>
  <si>
    <t>范天文</t>
  </si>
  <si>
    <t>兰明珍,范天文,范兴旺,范思语</t>
  </si>
  <si>
    <t>F625081072717294</t>
  </si>
  <si>
    <t>吴正高</t>
  </si>
  <si>
    <t>吴波,吴正高,闵贵书</t>
  </si>
  <si>
    <t>F625100929133330</t>
  </si>
  <si>
    <t>杨卫东</t>
  </si>
  <si>
    <t>F631626206734262</t>
  </si>
  <si>
    <t>程光文</t>
  </si>
  <si>
    <t>程光文,程明念,李自方,李俊全</t>
  </si>
  <si>
    <t>F743509019752333</t>
  </si>
  <si>
    <t>杨修国</t>
  </si>
  <si>
    <t>杨修国,杨显春</t>
  </si>
  <si>
    <t>F759564809367400</t>
  </si>
  <si>
    <t>张乾兴</t>
  </si>
  <si>
    <t>杨顺华,张乾兴,张帅平</t>
  </si>
  <si>
    <t>F934078117275757</t>
  </si>
  <si>
    <t>吴家洪</t>
  </si>
  <si>
    <t>吴家洪,张安会,吴巧,伍宏宇</t>
  </si>
  <si>
    <t>F949982339964320</t>
  </si>
  <si>
    <t>张志华</t>
  </si>
  <si>
    <t>张志华,张成祥</t>
  </si>
  <si>
    <t>F949986106370869</t>
  </si>
  <si>
    <t>范国向</t>
  </si>
  <si>
    <t>F949990009026891</t>
  </si>
  <si>
    <t>吴家福</t>
  </si>
  <si>
    <t>F950009663558376</t>
  </si>
  <si>
    <t>何艳春</t>
  </si>
  <si>
    <t>彭玉文,何艳春,何舣柯</t>
  </si>
  <si>
    <t>F950009859964756</t>
  </si>
  <si>
    <t>程文武</t>
  </si>
  <si>
    <t>程程,程文武,张光兴</t>
  </si>
  <si>
    <t>F950011599183320</t>
  </si>
  <si>
    <t>倪先明</t>
  </si>
  <si>
    <t>周凤先,倪先明</t>
  </si>
  <si>
    <t>F950011696370321</t>
  </si>
  <si>
    <t>曹永田</t>
  </si>
  <si>
    <t>曹永田,范词勋,曹燕,何光丁</t>
  </si>
  <si>
    <t>F950011765120548</t>
  </si>
  <si>
    <t>张前兵</t>
  </si>
  <si>
    <t>张伟,张前兵,张盛洪</t>
  </si>
  <si>
    <t>F950013410120473</t>
  </si>
  <si>
    <t>余思海</t>
  </si>
  <si>
    <t>兰明珍,余思海</t>
  </si>
  <si>
    <t>F950013617621597</t>
  </si>
  <si>
    <t>潘光友</t>
  </si>
  <si>
    <t>F950013689495955</t>
  </si>
  <si>
    <t>牟玉良</t>
  </si>
  <si>
    <t>牟泽东,牟玉良,朱小容</t>
  </si>
  <si>
    <t>F950013771058079</t>
  </si>
  <si>
    <t>蒋贵清</t>
  </si>
  <si>
    <t>蒋顺东,蒋贵清,蒋玲,蒋梦杰,王旭琼</t>
  </si>
  <si>
    <t>F950014666839394</t>
  </si>
  <si>
    <t>张文帆</t>
  </si>
  <si>
    <t>莫汉珍,张文帆</t>
  </si>
  <si>
    <t>F950015042307909</t>
  </si>
  <si>
    <t>陈朝兴</t>
  </si>
  <si>
    <t>刘芝伦,陈朝兴</t>
  </si>
  <si>
    <t>F950015233245623</t>
  </si>
  <si>
    <t>段光田</t>
  </si>
  <si>
    <t>F950015334807991</t>
  </si>
  <si>
    <t>何晓玉,何平,曹银珍</t>
  </si>
  <si>
    <t>F950015501214252</t>
  </si>
  <si>
    <t>牟长金</t>
  </si>
  <si>
    <t>周国明,牟长金</t>
  </si>
  <si>
    <t>F950015537308130</t>
  </si>
  <si>
    <t>黄宗前</t>
  </si>
  <si>
    <t>黄宗前,候望婷,彭远秀,黄为一,候明燕</t>
  </si>
  <si>
    <t>F950015572777008</t>
  </si>
  <si>
    <t>王志军</t>
  </si>
  <si>
    <t>彭华珍,王志军,王小平</t>
  </si>
  <si>
    <t>F950016361214565</t>
  </si>
  <si>
    <t>陈元右</t>
  </si>
  <si>
    <t>张占友,陈元右</t>
  </si>
  <si>
    <t>F950016454808026</t>
  </si>
  <si>
    <t>袁立君</t>
  </si>
  <si>
    <t>袁立君,袁鑫,袁立章,罗述平,袁紫涵</t>
  </si>
  <si>
    <t>F950016514964288</t>
  </si>
  <si>
    <t>翁德彭</t>
  </si>
  <si>
    <t>翁德彭,丁良秀</t>
  </si>
  <si>
    <t>F950016529495509</t>
  </si>
  <si>
    <t>钟家明</t>
  </si>
  <si>
    <t>胡其寿,钟家明</t>
  </si>
  <si>
    <t>F950016818714311</t>
  </si>
  <si>
    <t>黄元明</t>
  </si>
  <si>
    <t>黄元明,曹永华</t>
  </si>
  <si>
    <t>F950018295901866</t>
  </si>
  <si>
    <t>陈文琼</t>
  </si>
  <si>
    <t>F950018498714428</t>
  </si>
  <si>
    <t>吴家武</t>
  </si>
  <si>
    <t>吴家武,吴晓燕</t>
  </si>
  <si>
    <t>F950020741839772</t>
  </si>
  <si>
    <t>曾自安</t>
  </si>
  <si>
    <t>徐翠容,牟垚亭,牟勇钢,曾自安</t>
  </si>
  <si>
    <t>F950024164026923</t>
  </si>
  <si>
    <t>黄旭成</t>
  </si>
  <si>
    <t>黄旭成,黄安红,王永凤</t>
  </si>
  <si>
    <t>F950024286995682</t>
  </si>
  <si>
    <t>任义根</t>
  </si>
  <si>
    <t>任义根,任翠苹</t>
  </si>
  <si>
    <t>F950024599651790</t>
  </si>
  <si>
    <t>袁天冲</t>
  </si>
  <si>
    <t>袁天冲,袁息容,张渝梅,张天富,张袁源,张晓琴</t>
  </si>
  <si>
    <t>F950024719026809</t>
  </si>
  <si>
    <t>吴大秀</t>
  </si>
  <si>
    <t>F950024883558364</t>
  </si>
  <si>
    <t>周兴荣</t>
  </si>
  <si>
    <t>周兴荣,范词银,周俊成</t>
  </si>
  <si>
    <t>F950025043245378</t>
  </si>
  <si>
    <t>程明忠</t>
  </si>
  <si>
    <t>程明忠,邓晓红,程静</t>
  </si>
  <si>
    <t>F950025796058181</t>
  </si>
  <si>
    <t>张占清</t>
  </si>
  <si>
    <t>傅开连,张超友,张军伟,张占清</t>
  </si>
  <si>
    <t>F950026114183192</t>
  </si>
  <si>
    <t>李井银</t>
  </si>
  <si>
    <t>F950026443870561</t>
  </si>
  <si>
    <t>莫连芝</t>
  </si>
  <si>
    <t>F950026518246035</t>
  </si>
  <si>
    <t>李祖华</t>
  </si>
  <si>
    <t>李祖华,李红玲</t>
  </si>
  <si>
    <t>F950026569339752</t>
  </si>
  <si>
    <t>翁亮全</t>
  </si>
  <si>
    <t>翁善琼,翁亮全,陈自连,翁善萍</t>
  </si>
  <si>
    <t>F950026684652099</t>
  </si>
  <si>
    <t>范利芳</t>
  </si>
  <si>
    <t>F950026808245395</t>
  </si>
  <si>
    <t>蒋贵友</t>
  </si>
  <si>
    <t>蒋贵友,蒋顺琪,蒋顺平</t>
  </si>
  <si>
    <t>F950026901995282</t>
  </si>
  <si>
    <t>陈陶</t>
  </si>
  <si>
    <t>龚翠梅,陈宇航,陈梓睿,陈陶</t>
  </si>
  <si>
    <t>F950026924495311</t>
  </si>
  <si>
    <t>张光祥</t>
  </si>
  <si>
    <t>曹远连,张大友,张光祥</t>
  </si>
  <si>
    <t>F950026956995799</t>
  </si>
  <si>
    <t>黄元思</t>
  </si>
  <si>
    <t>黄元思,黄容</t>
  </si>
  <si>
    <t>F950027082777241</t>
  </si>
  <si>
    <t>宋仁银</t>
  </si>
  <si>
    <t>杨德云,宋仁银,杨盛兵</t>
  </si>
  <si>
    <t>F950027806839598</t>
  </si>
  <si>
    <t>候通富</t>
  </si>
  <si>
    <t>彭宗华,候通富</t>
  </si>
  <si>
    <t>F950027842151547</t>
  </si>
  <si>
    <t>胡正国</t>
  </si>
  <si>
    <t>胡正国,胡通琼,王治奎,王化珍</t>
  </si>
  <si>
    <t>F950028080901993</t>
  </si>
  <si>
    <t>曹会廷</t>
  </si>
  <si>
    <t>F950028172777085</t>
  </si>
  <si>
    <t>黄昌贵</t>
  </si>
  <si>
    <t>范池万,黄昌贵</t>
  </si>
  <si>
    <t>F950028202620918</t>
  </si>
  <si>
    <t>侯通六</t>
  </si>
  <si>
    <t>范罡,侯通六,曹远清,侯明旭,范凌薇</t>
  </si>
  <si>
    <t>F950028622151948</t>
  </si>
  <si>
    <t>袁成福</t>
  </si>
  <si>
    <t>袁成福,袁立秀</t>
  </si>
  <si>
    <t>F950029189651913</t>
  </si>
  <si>
    <t>曹远富</t>
  </si>
  <si>
    <t>曹远富,曹建强,曹锡知</t>
  </si>
  <si>
    <t>F950030092152009</t>
  </si>
  <si>
    <t>莫汉林</t>
  </si>
  <si>
    <t>莫汉林,莫世杰,张超满</t>
  </si>
  <si>
    <t>F950030213089299</t>
  </si>
  <si>
    <t>曹远强</t>
  </si>
  <si>
    <t>曹恩碧,王荣华,曹恩源,邓民华,曹远强</t>
  </si>
  <si>
    <t>F950030243870629</t>
  </si>
  <si>
    <t>陈明元</t>
  </si>
  <si>
    <t>F950030420902063</t>
  </si>
  <si>
    <t>唐宋凤</t>
  </si>
  <si>
    <t>唐宋凤,范玲</t>
  </si>
  <si>
    <t>F950030725120622</t>
  </si>
  <si>
    <t>范国军</t>
  </si>
  <si>
    <t>曹光英,范国军</t>
  </si>
  <si>
    <t>F950031110589261</t>
  </si>
  <si>
    <t>李祖兴</t>
  </si>
  <si>
    <t>唐永明,李德洪,李祖兴</t>
  </si>
  <si>
    <t>F950031707308311</t>
  </si>
  <si>
    <t>卢光俊</t>
  </si>
  <si>
    <t>F950032028246263</t>
  </si>
  <si>
    <t>牟成林</t>
  </si>
  <si>
    <t>牟涛,牟成林</t>
  </si>
  <si>
    <t>F950032354026736</t>
  </si>
  <si>
    <t>龙德兵</t>
  </si>
  <si>
    <t>姚盛银,龙德兵,龙廷翔,龙瑶</t>
  </si>
  <si>
    <t>F950032578089369</t>
  </si>
  <si>
    <t>陈清安</t>
  </si>
  <si>
    <t>彭荣国,陈清安,陈勇</t>
  </si>
  <si>
    <t>F950032705589503</t>
  </si>
  <si>
    <t>F950032984183261</t>
  </si>
  <si>
    <t>曹远光</t>
  </si>
  <si>
    <t>梁龙珍,曹兴友,曹远光</t>
  </si>
  <si>
    <t>F950033726214329</t>
  </si>
  <si>
    <t>张玉华</t>
  </si>
  <si>
    <t>任红秀,张玉华</t>
  </si>
  <si>
    <t>F950033728870733</t>
  </si>
  <si>
    <t>牟泽善</t>
  </si>
  <si>
    <t>牟俊成,牟泽善,牟虹枚</t>
  </si>
  <si>
    <t>F950033736057826</t>
  </si>
  <si>
    <t>张成兴</t>
  </si>
  <si>
    <t>F950033888870622</t>
  </si>
  <si>
    <t>杨伯林</t>
  </si>
  <si>
    <t>杨伯林,杨晨</t>
  </si>
  <si>
    <t>F950034205589656</t>
  </si>
  <si>
    <t>徐松柏</t>
  </si>
  <si>
    <t>徐松柏,王明华</t>
  </si>
  <si>
    <t>F950034324495668</t>
  </si>
  <si>
    <t>罗全国</t>
  </si>
  <si>
    <t>罗林学,罗全国</t>
  </si>
  <si>
    <t>F950034646058637</t>
  </si>
  <si>
    <t>雷发火</t>
  </si>
  <si>
    <t>F950034693089307</t>
  </si>
  <si>
    <t>龙庭军</t>
  </si>
  <si>
    <t>F950035159182825</t>
  </si>
  <si>
    <t>罗君华</t>
  </si>
  <si>
    <t>罗君华,侯通香,罗春</t>
  </si>
  <si>
    <t>F950035184026891</t>
  </si>
  <si>
    <t>姚胜前</t>
  </si>
  <si>
    <t>姚胜前,雷亮,姚秀惠,雷震涛</t>
  </si>
  <si>
    <t>F950035776839448</t>
  </si>
  <si>
    <t>曹远文</t>
  </si>
  <si>
    <t>陈廷英,曹远文</t>
  </si>
  <si>
    <t>F950035857777153</t>
  </si>
  <si>
    <t>苟明秀</t>
  </si>
  <si>
    <t>周鹏,苟明秀</t>
  </si>
  <si>
    <t>F950035902464864</t>
  </si>
  <si>
    <t>龙伯安</t>
  </si>
  <si>
    <t>张成富,龙伯安</t>
  </si>
  <si>
    <t>F950035926527105</t>
  </si>
  <si>
    <t>牟长光</t>
  </si>
  <si>
    <t>牟长光,牟成斌,杨正书</t>
  </si>
  <si>
    <t>F950037103870601</t>
  </si>
  <si>
    <t>杨盛琼</t>
  </si>
  <si>
    <t>杨盛琼,张志安</t>
  </si>
  <si>
    <t>F950037912777011</t>
  </si>
  <si>
    <t>张敏</t>
  </si>
  <si>
    <t>F950037988714762</t>
  </si>
  <si>
    <t>刘建昌</t>
  </si>
  <si>
    <t>F950038055277379</t>
  </si>
  <si>
    <t>唐维连</t>
  </si>
  <si>
    <t>曹益辉,曹佩珊,唐维连,曹安全</t>
  </si>
  <si>
    <t>F950038303714999</t>
  </si>
  <si>
    <t>兰光银</t>
  </si>
  <si>
    <t>兰旭林,兰光银</t>
  </si>
  <si>
    <t>F950038321370780</t>
  </si>
  <si>
    <t>陈大万</t>
  </si>
  <si>
    <t>陈大万,曾安贵,陈光秀,税陈艺轩</t>
  </si>
  <si>
    <t>F950039171214974</t>
  </si>
  <si>
    <t>兰洪军</t>
  </si>
  <si>
    <t>方玉容,兰洪军,兰开平,兰芳慧</t>
  </si>
  <si>
    <t>F950039799026802</t>
  </si>
  <si>
    <t>任信万</t>
  </si>
  <si>
    <t>任信万,任慧淋,任义菲,薛花</t>
  </si>
  <si>
    <t>F950039863246332</t>
  </si>
  <si>
    <t>张成义</t>
  </si>
  <si>
    <t>张成义,张成玉,张志乾</t>
  </si>
  <si>
    <t>F950040904808620</t>
  </si>
  <si>
    <t>曹永连</t>
  </si>
  <si>
    <t>F950041025120991</t>
  </si>
  <si>
    <t>F950041152620649</t>
  </si>
  <si>
    <t>李其胜</t>
  </si>
  <si>
    <t>F950041199339760</t>
  </si>
  <si>
    <t>范国云</t>
  </si>
  <si>
    <t>袁成六,范芳琼,范国云,范词术,范菲菲</t>
  </si>
  <si>
    <t>F950041946370596</t>
  </si>
  <si>
    <t>温友良</t>
  </si>
  <si>
    <t>温丽,何定秀,温湍,温友良</t>
  </si>
  <si>
    <t>F950042251839683</t>
  </si>
  <si>
    <t>邓旭兵</t>
  </si>
  <si>
    <t>邓旭兵,邓渝川,薛希桂</t>
  </si>
  <si>
    <t>F950042353089576</t>
  </si>
  <si>
    <t>李其冬</t>
  </si>
  <si>
    <t>F950042365589814</t>
  </si>
  <si>
    <t>陈文兴</t>
  </si>
  <si>
    <t>F950042719964219</t>
  </si>
  <si>
    <t>周海燕</t>
  </si>
  <si>
    <t>李福明,周银昌,周海燕</t>
  </si>
  <si>
    <t>F950042891058293</t>
  </si>
  <si>
    <t>翁兴全</t>
  </si>
  <si>
    <t>翁兴全,胡正连,翁秀林</t>
  </si>
  <si>
    <t>F950044420120658</t>
  </si>
  <si>
    <t>温友明</t>
  </si>
  <si>
    <t>F950044632464989</t>
  </si>
  <si>
    <t>翁明友</t>
  </si>
  <si>
    <t>F951543517933058</t>
  </si>
  <si>
    <t>王修明</t>
  </si>
  <si>
    <t>F972505768801876</t>
  </si>
  <si>
    <t>李成峰</t>
  </si>
  <si>
    <t>张书连,李蕊茜,李瑞琦,李成峰,李莹茜,李清云</t>
  </si>
  <si>
    <t>F131785042136628</t>
  </si>
  <si>
    <t>舟坝镇</t>
  </si>
  <si>
    <t>正兴村委会</t>
  </si>
  <si>
    <t>黄贵荣</t>
  </si>
  <si>
    <t>F308019381246712</t>
  </si>
  <si>
    <t>刘昌文</t>
  </si>
  <si>
    <t>F707750240926083</t>
  </si>
  <si>
    <t>刘成秀</t>
  </si>
  <si>
    <t>刘成秀,何平</t>
  </si>
  <si>
    <t>F949982278870783</t>
  </si>
  <si>
    <t>颜云贵</t>
  </si>
  <si>
    <t>F949982474027276</t>
  </si>
  <si>
    <t>黄淑友</t>
  </si>
  <si>
    <t>黄德金,胡孝芝,黄淑友</t>
  </si>
  <si>
    <t>F949982506370720</t>
  </si>
  <si>
    <t>吴林珍</t>
  </si>
  <si>
    <t>F949984213089875</t>
  </si>
  <si>
    <t>夏先秀</t>
  </si>
  <si>
    <t>张得清,夏先秀</t>
  </si>
  <si>
    <t>F949986102464549</t>
  </si>
  <si>
    <t>何明秀</t>
  </si>
  <si>
    <t>F950013173870353</t>
  </si>
  <si>
    <t>何安均</t>
  </si>
  <si>
    <t>何安均,姜玉芝</t>
  </si>
  <si>
    <t>F950013305120524</t>
  </si>
  <si>
    <t>刘本华</t>
  </si>
  <si>
    <t>刘海燕,刘本华</t>
  </si>
  <si>
    <t>F950013684339542</t>
  </si>
  <si>
    <t>卢世贵</t>
  </si>
  <si>
    <t>卢世贵,卢朝香</t>
  </si>
  <si>
    <t>F950013777152043</t>
  </si>
  <si>
    <t>邱兴柱</t>
  </si>
  <si>
    <t>F950015019495374</t>
  </si>
  <si>
    <t>曹明玉</t>
  </si>
  <si>
    <t>F950016532464165</t>
  </si>
  <si>
    <t>罗桂兰</t>
  </si>
  <si>
    <t>F950016718089603</t>
  </si>
  <si>
    <t>蒋友秀</t>
  </si>
  <si>
    <t>F950020701371138</t>
  </si>
  <si>
    <t>吕桂芳</t>
  </si>
  <si>
    <t>吕桂芳,吴明均,吴丹</t>
  </si>
  <si>
    <t>F950020791996099</t>
  </si>
  <si>
    <t>邱云海</t>
  </si>
  <si>
    <t>F950022338245480</t>
  </si>
  <si>
    <t>黄贵富</t>
  </si>
  <si>
    <t>F950022494027005</t>
  </si>
  <si>
    <t>夏先贵</t>
  </si>
  <si>
    <t>夏先贵,张登香</t>
  </si>
  <si>
    <t>F950022663246136</t>
  </si>
  <si>
    <t>姚贵秀</t>
  </si>
  <si>
    <t>夏菲,姚贵秀</t>
  </si>
  <si>
    <t>F950024652152052</t>
  </si>
  <si>
    <t>罗天云</t>
  </si>
  <si>
    <t>宋致蓉,罗天云</t>
  </si>
  <si>
    <t>F950024917621033</t>
  </si>
  <si>
    <t>费德富</t>
  </si>
  <si>
    <t>费德富,兰昌秀</t>
  </si>
  <si>
    <t>F950026009339343</t>
  </si>
  <si>
    <t>贺中清</t>
  </si>
  <si>
    <t>F950026639964849</t>
  </si>
  <si>
    <t>钟启珍</t>
  </si>
  <si>
    <t>唐磊,唐炳术,钟启珍</t>
  </si>
  <si>
    <t>F950027800901702</t>
  </si>
  <si>
    <t>宋友香</t>
  </si>
  <si>
    <t>F950028160432791</t>
  </si>
  <si>
    <t>王安明</t>
  </si>
  <si>
    <t>王胡叶,胡秀芝,王安明</t>
  </si>
  <si>
    <t>F950028542620540</t>
  </si>
  <si>
    <t>齐加秀</t>
  </si>
  <si>
    <t>F950028610589702</t>
  </si>
  <si>
    <t>陈传秀</t>
  </si>
  <si>
    <t>F950029752152021</t>
  </si>
  <si>
    <t>王太明</t>
  </si>
  <si>
    <t>王太明,杨中明</t>
  </si>
  <si>
    <t>F950029764339281</t>
  </si>
  <si>
    <t>宋致军</t>
  </si>
  <si>
    <t>宋雪丹,宋致军</t>
  </si>
  <si>
    <t>F950029838401645</t>
  </si>
  <si>
    <t>黄川友</t>
  </si>
  <si>
    <t>F950030393558316</t>
  </si>
  <si>
    <t>吕大元</t>
  </si>
  <si>
    <t>吕大元,邱云芝</t>
  </si>
  <si>
    <t>F950030963089641</t>
  </si>
  <si>
    <t>雷洋贵</t>
  </si>
  <si>
    <t>F950032137776764</t>
  </si>
  <si>
    <t>喻贵全</t>
  </si>
  <si>
    <t>F950032213558130</t>
  </si>
  <si>
    <t>徐禄刚</t>
  </si>
  <si>
    <t>徐禄刚,徐红阳,胡千桂</t>
  </si>
  <si>
    <t>F950033822308178</t>
  </si>
  <si>
    <t>罗天华</t>
  </si>
  <si>
    <t>罗宇霞,罗清太,罗天均,罗天华,李文芝</t>
  </si>
  <si>
    <t>F950034368245682</t>
  </si>
  <si>
    <t>万成永</t>
  </si>
  <si>
    <t>万成永,陈恩秀</t>
  </si>
  <si>
    <t>F950034894183139</t>
  </si>
  <si>
    <t>范桂六</t>
  </si>
  <si>
    <t>范桂六,范强,齐加莲,范敏娇,周开秀</t>
  </si>
  <si>
    <t>F950034978245559</t>
  </si>
  <si>
    <t>杨桂芝</t>
  </si>
  <si>
    <t>F950036203401760</t>
  </si>
  <si>
    <t>余茂杰</t>
  </si>
  <si>
    <t>F950036213558249</t>
  </si>
  <si>
    <t>余建平</t>
  </si>
  <si>
    <t>F950036379183386</t>
  </si>
  <si>
    <t>万启桂</t>
  </si>
  <si>
    <t>F950037752464422</t>
  </si>
  <si>
    <t>张维书</t>
  </si>
  <si>
    <t>F950038938401982</t>
  </si>
  <si>
    <t>吕世坪</t>
  </si>
  <si>
    <t>吕代洪,林正琴,吕世坪,吕春,杨田珍</t>
  </si>
  <si>
    <t>F950038999026910</t>
  </si>
  <si>
    <t>袁国贵</t>
  </si>
  <si>
    <t>何朝芝,袁国贵</t>
  </si>
  <si>
    <t>F950039008402117</t>
  </si>
  <si>
    <t>张金明</t>
  </si>
  <si>
    <t>夏生凤,张华,张金明,张郭俊</t>
  </si>
  <si>
    <t>F950039109339398</t>
  </si>
  <si>
    <t>邱云国</t>
  </si>
  <si>
    <t>夏先凤,邱云国</t>
  </si>
  <si>
    <t>F950039850433552</t>
  </si>
  <si>
    <t>王祖伦</t>
  </si>
  <si>
    <t>王祖伦,张德秀</t>
  </si>
  <si>
    <t>F950039875120796</t>
  </si>
  <si>
    <t>曹德银</t>
  </si>
  <si>
    <t>吴根秀,曹德银</t>
  </si>
  <si>
    <t>F950040242776891</t>
  </si>
  <si>
    <t>余应奎</t>
  </si>
  <si>
    <t>F950041840589771</t>
  </si>
  <si>
    <t>吕永怀</t>
  </si>
  <si>
    <t>吕永怀,吕大才</t>
  </si>
  <si>
    <t>F950042514495371</t>
  </si>
  <si>
    <t>周银香</t>
  </si>
  <si>
    <t>F950042585120387</t>
  </si>
  <si>
    <t>梁明</t>
  </si>
  <si>
    <t>陈明华,梁明,梁桂明</t>
  </si>
  <si>
    <t>F950044126370769</t>
  </si>
  <si>
    <t>张先易</t>
  </si>
  <si>
    <t>F950044274495195</t>
  </si>
  <si>
    <t>吕大兴</t>
  </si>
  <si>
    <t>吕大兴,韦金容,吕世斌,吕琴</t>
  </si>
  <si>
    <t>F950044760589372</t>
  </si>
  <si>
    <t>王太仲</t>
  </si>
  <si>
    <t>何明香,王太仲</t>
  </si>
  <si>
    <t>F950044772620320</t>
  </si>
  <si>
    <t>邱远千</t>
  </si>
  <si>
    <t>邱远千,王丹</t>
  </si>
  <si>
    <t>F950044837620462</t>
  </si>
  <si>
    <t>张莲枝</t>
  </si>
  <si>
    <t>F672802136439270</t>
  </si>
  <si>
    <t>普宁村委会</t>
  </si>
  <si>
    <t>黄武光</t>
  </si>
  <si>
    <t>陈继珍,黄武光</t>
  </si>
  <si>
    <t>F733295377979067</t>
  </si>
  <si>
    <t>吴东阳</t>
  </si>
  <si>
    <t>吴东阳,吴东旭</t>
  </si>
  <si>
    <t>F888785928724373</t>
  </si>
  <si>
    <t>刘加正</t>
  </si>
  <si>
    <t>刘加正,李思桂,刘轩宇,刘坤</t>
  </si>
  <si>
    <t>F918914987609238</t>
  </si>
  <si>
    <t>邱兴富</t>
  </si>
  <si>
    <t>F949986074340079</t>
  </si>
  <si>
    <t>张忠</t>
  </si>
  <si>
    <t>F950009771214324</t>
  </si>
  <si>
    <t>赵春香</t>
  </si>
  <si>
    <t>F950011641214027</t>
  </si>
  <si>
    <t>梁朝品</t>
  </si>
  <si>
    <t>梁朝品,梁吉友</t>
  </si>
  <si>
    <t>F950013344182819</t>
  </si>
  <si>
    <t>李桂珍</t>
  </si>
  <si>
    <t>F950013468558343</t>
  </si>
  <si>
    <t>邓学秀</t>
  </si>
  <si>
    <t>邱兴全,邓学秀</t>
  </si>
  <si>
    <t>F950013625901747</t>
  </si>
  <si>
    <t>张根秀</t>
  </si>
  <si>
    <t>辜响琼,张根秀,邱兴全</t>
  </si>
  <si>
    <t>F950013704495776</t>
  </si>
  <si>
    <t>毛玉琴</t>
  </si>
  <si>
    <t>邱云才,邱兴华,毛玉琴</t>
  </si>
  <si>
    <t>F950014478714445</t>
  </si>
  <si>
    <t>张先由</t>
  </si>
  <si>
    <t>F950014785432944</t>
  </si>
  <si>
    <t>李忠容</t>
  </si>
  <si>
    <t>汤国遐,汤太彬,李忠容</t>
  </si>
  <si>
    <t>F950015292151719</t>
  </si>
  <si>
    <t>王福友</t>
  </si>
  <si>
    <t>王俊俨,曾佳秀,王福友</t>
  </si>
  <si>
    <t>F950015497776734</t>
  </si>
  <si>
    <t>吴俊英</t>
  </si>
  <si>
    <t>F950016388245753</t>
  </si>
  <si>
    <t>刘光池</t>
  </si>
  <si>
    <t>F950016497933236</t>
  </si>
  <si>
    <t>黄武荣</t>
  </si>
  <si>
    <t>林国秀,黄武荣</t>
  </si>
  <si>
    <t>F950016609026755</t>
  </si>
  <si>
    <t>刘淑兰</t>
  </si>
  <si>
    <t>F950016840120979</t>
  </si>
  <si>
    <t>曾朝英</t>
  </si>
  <si>
    <t>F950018635589284</t>
  </si>
  <si>
    <t>颜银芝</t>
  </si>
  <si>
    <t>颜银芝,范祝祥,范琼芳</t>
  </si>
  <si>
    <t>F950020526214371</t>
  </si>
  <si>
    <t>邱兴明</t>
  </si>
  <si>
    <t>邱俊杰,夏桂芝,邱兴明,邱鸿飞</t>
  </si>
  <si>
    <t>F950024577620677</t>
  </si>
  <si>
    <t>邱远文</t>
  </si>
  <si>
    <t>F950024613089631</t>
  </si>
  <si>
    <t>吴林健</t>
  </si>
  <si>
    <t>吴林健,吴启明</t>
  </si>
  <si>
    <t>F950026290433432</t>
  </si>
  <si>
    <t>吴林武</t>
  </si>
  <si>
    <t>王福珍,吴林武</t>
  </si>
  <si>
    <t>F950027137151691</t>
  </si>
  <si>
    <t>邱建平</t>
  </si>
  <si>
    <t>邱建平,黄苓</t>
  </si>
  <si>
    <t>F950028013870283</t>
  </si>
  <si>
    <t>吴林楷</t>
  </si>
  <si>
    <t>F950028028089343</t>
  </si>
  <si>
    <t>李兴海</t>
  </si>
  <si>
    <t>黄洪书,李兴海</t>
  </si>
  <si>
    <t>F950028557933448</t>
  </si>
  <si>
    <t>曹加银</t>
  </si>
  <si>
    <t>曹修林,曹加银,廖国琼,曹裕秦</t>
  </si>
  <si>
    <t>F950030681526767</t>
  </si>
  <si>
    <t>刘桂芝</t>
  </si>
  <si>
    <t>吴俊坤,吕学芬,吴永华,刘桂芝</t>
  </si>
  <si>
    <t>F950030899808078</t>
  </si>
  <si>
    <t>李忠南</t>
  </si>
  <si>
    <t>邱荣珍,李泽刚,李忠南</t>
  </si>
  <si>
    <t>F950031178714345</t>
  </si>
  <si>
    <t>范定芝</t>
  </si>
  <si>
    <t>F950032814026699</t>
  </si>
  <si>
    <t>陈双芝</t>
  </si>
  <si>
    <t>F950032990276870</t>
  </si>
  <si>
    <t>李先均</t>
  </si>
  <si>
    <t>F950034080120482</t>
  </si>
  <si>
    <t>张志容</t>
  </si>
  <si>
    <t>F950036454495457</t>
  </si>
  <si>
    <t>赵学莲</t>
  </si>
  <si>
    <t>F950036853714437</t>
  </si>
  <si>
    <t>王健洋</t>
  </si>
  <si>
    <t>王秋琳,邱荣凤,王健洋,邱兴秀</t>
  </si>
  <si>
    <t>F950038260745859</t>
  </si>
  <si>
    <t>曹明秀</t>
  </si>
  <si>
    <t>曹明秀,邹吉云,邹吉友</t>
  </si>
  <si>
    <t>F950038417933120</t>
  </si>
  <si>
    <t>李忠秀</t>
  </si>
  <si>
    <t>F950039778401609</t>
  </si>
  <si>
    <t>杨福明</t>
  </si>
  <si>
    <t>杨程,龚志蓉,杨瑞东,杨福友,杨福明,杨佳琳</t>
  </si>
  <si>
    <t>F950039974183820</t>
  </si>
  <si>
    <t>霍惠香</t>
  </si>
  <si>
    <t>F950040205276968</t>
  </si>
  <si>
    <t>余双莲</t>
  </si>
  <si>
    <t>F950040319964856</t>
  </si>
  <si>
    <t>刘加元</t>
  </si>
  <si>
    <t>F950040569182898</t>
  </si>
  <si>
    <t>黄兴友</t>
  </si>
  <si>
    <t>黄兴友,黄秀清</t>
  </si>
  <si>
    <t>F950042404183043</t>
  </si>
  <si>
    <t>张谋</t>
  </si>
  <si>
    <t>F950042544339380</t>
  </si>
  <si>
    <t>王富兵</t>
  </si>
  <si>
    <t>王富兵,吴永琴</t>
  </si>
  <si>
    <t>F950043193870549</t>
  </si>
  <si>
    <t>李群仙</t>
  </si>
  <si>
    <t>F146481266777925</t>
  </si>
  <si>
    <t>夏寨村委会</t>
  </si>
  <si>
    <t>候贵元</t>
  </si>
  <si>
    <t>候贵元,夏凤容,候佳欣</t>
  </si>
  <si>
    <t>F204324880002287</t>
  </si>
  <si>
    <t>夏明兴</t>
  </si>
  <si>
    <t>F419111918912272</t>
  </si>
  <si>
    <t>罗兴秀</t>
  </si>
  <si>
    <t>F949985994495774</t>
  </si>
  <si>
    <t>张亨财</t>
  </si>
  <si>
    <t>F949990096058231</t>
  </si>
  <si>
    <t>陈海艳</t>
  </si>
  <si>
    <t>F950009768401901</t>
  </si>
  <si>
    <t>杨兴贵</t>
  </si>
  <si>
    <t>F950012998245321</t>
  </si>
  <si>
    <t>张洪珍</t>
  </si>
  <si>
    <t>F950013294026847</t>
  </si>
  <si>
    <t>夏福有</t>
  </si>
  <si>
    <t>F950014549339483</t>
  </si>
  <si>
    <t>卢永连</t>
  </si>
  <si>
    <t>F950015821214422</t>
  </si>
  <si>
    <t>瞿向容</t>
  </si>
  <si>
    <t>F950015826370861</t>
  </si>
  <si>
    <t>费定琼</t>
  </si>
  <si>
    <t>F950016379808249</t>
  </si>
  <si>
    <t>夏福华</t>
  </si>
  <si>
    <t>夏福华,杨兴友</t>
  </si>
  <si>
    <t>F950018666214269</t>
  </si>
  <si>
    <t>李宗芝</t>
  </si>
  <si>
    <t>F950020370120579</t>
  </si>
  <si>
    <t>陈银安</t>
  </si>
  <si>
    <t>陈银安,吴林香,陈雪梅,邱洋</t>
  </si>
  <si>
    <t>F950022386058530</t>
  </si>
  <si>
    <t>张平</t>
  </si>
  <si>
    <t>F950022761214420</t>
  </si>
  <si>
    <t>刘光芝</t>
  </si>
  <si>
    <t>F950024461058174</t>
  </si>
  <si>
    <t>谢春秀</t>
  </si>
  <si>
    <t>F950025867308323</t>
  </si>
  <si>
    <t>邱云秀</t>
  </si>
  <si>
    <t>F950026959808041</t>
  </si>
  <si>
    <t>杨朝容</t>
  </si>
  <si>
    <t>F950027185746838</t>
  </si>
  <si>
    <t>张宗富</t>
  </si>
  <si>
    <t>张海燕,张宗富,范国珍</t>
  </si>
  <si>
    <t>F950027245748109</t>
  </si>
  <si>
    <t>赵进琼</t>
  </si>
  <si>
    <t>鲁诗祺,鲁洪军,赵进琼,鲁道文</t>
  </si>
  <si>
    <t>F950027950433307</t>
  </si>
  <si>
    <t>郭凤珍</t>
  </si>
  <si>
    <t>F950028008870999</t>
  </si>
  <si>
    <t>张崇容</t>
  </si>
  <si>
    <t>郑彦彤,张崇容</t>
  </si>
  <si>
    <t>F950028598089839</t>
  </si>
  <si>
    <t>夏福贵</t>
  </si>
  <si>
    <t>F950028717464149</t>
  </si>
  <si>
    <t>陈再桂</t>
  </si>
  <si>
    <t>胡思有,陈再桂,胡星</t>
  </si>
  <si>
    <t>F950029099652013</t>
  </si>
  <si>
    <t>周芳全</t>
  </si>
  <si>
    <t>F950029850589307</t>
  </si>
  <si>
    <t>艾成国</t>
  </si>
  <si>
    <t>F950030388714257</t>
  </si>
  <si>
    <t>夏绍芝</t>
  </si>
  <si>
    <t>F950032415120577</t>
  </si>
  <si>
    <t>鲁礼秀</t>
  </si>
  <si>
    <t>F950032520120371</t>
  </si>
  <si>
    <t>黄桂珍</t>
  </si>
  <si>
    <t>黄桂珍,邱治荣,邱杰</t>
  </si>
  <si>
    <t>F950032718089669</t>
  </si>
  <si>
    <t>朱秀珍</t>
  </si>
  <si>
    <t>朱秀珍,何太有</t>
  </si>
  <si>
    <t>F950033754026838</t>
  </si>
  <si>
    <t>李贵芝</t>
  </si>
  <si>
    <t>李贵芝,曹光友,朱德英</t>
  </si>
  <si>
    <t>F950034506526947</t>
  </si>
  <si>
    <t>张洪田</t>
  </si>
  <si>
    <t>F950034593089682</t>
  </si>
  <si>
    <t>何安国</t>
  </si>
  <si>
    <t>F950036064026930</t>
  </si>
  <si>
    <t>王书云</t>
  </si>
  <si>
    <t>F950036702620700</t>
  </si>
  <si>
    <t>何国伦</t>
  </si>
  <si>
    <t>F950038737464438</t>
  </si>
  <si>
    <t>黎茂贵</t>
  </si>
  <si>
    <t>张文军,黎茂贵,张先兵</t>
  </si>
  <si>
    <t>F950038742464291</t>
  </si>
  <si>
    <t>江秀英</t>
  </si>
  <si>
    <t>F950039820901825</t>
  </si>
  <si>
    <t>许胜明</t>
  </si>
  <si>
    <t>F950039911214469</t>
  </si>
  <si>
    <t>张启芳</t>
  </si>
  <si>
    <t>F950040440120399</t>
  </si>
  <si>
    <t>何国芝</t>
  </si>
  <si>
    <t>F950040856214620</t>
  </si>
  <si>
    <t>何安仲</t>
  </si>
  <si>
    <t>F950040968714429</t>
  </si>
  <si>
    <t>张亨珍</t>
  </si>
  <si>
    <t>F950041245745402</t>
  </si>
  <si>
    <t>何国银</t>
  </si>
  <si>
    <t>F950041267308757</t>
  </si>
  <si>
    <t>夏先洪</t>
  </si>
  <si>
    <t>F950042936527053</t>
  </si>
  <si>
    <t>费朝芝</t>
  </si>
  <si>
    <t>F950044018401841</t>
  </si>
  <si>
    <t>F950044549027281</t>
  </si>
  <si>
    <t>何国明</t>
  </si>
  <si>
    <t>何太伦,余艮秀,何国明</t>
  </si>
  <si>
    <t>F407094952887502</t>
  </si>
  <si>
    <t>前进村委会</t>
  </si>
  <si>
    <t>张淑芳</t>
  </si>
  <si>
    <t>F601576207519831</t>
  </si>
  <si>
    <t>罗旭荣</t>
  </si>
  <si>
    <t>F654646903390526</t>
  </si>
  <si>
    <t>李桂云</t>
  </si>
  <si>
    <t>F708866829875673</t>
  </si>
  <si>
    <t>董俊平</t>
  </si>
  <si>
    <t>董俊平,董春霞</t>
  </si>
  <si>
    <t>F950009590589160</t>
  </si>
  <si>
    <t>张光纯</t>
  </si>
  <si>
    <t>F950015554964174</t>
  </si>
  <si>
    <t>夏道华</t>
  </si>
  <si>
    <t>F950027974183275</t>
  </si>
  <si>
    <t>费朝钧</t>
  </si>
  <si>
    <t>F950028100433104</t>
  </si>
  <si>
    <t>黎从秀</t>
  </si>
  <si>
    <t>F950028118089116</t>
  </si>
  <si>
    <t>周秀英</t>
  </si>
  <si>
    <t>F950028421371048</t>
  </si>
  <si>
    <t>夏绍棋</t>
  </si>
  <si>
    <t>夏羲,夏绍棋</t>
  </si>
  <si>
    <t>F950030554339283</t>
  </si>
  <si>
    <t>张云华</t>
  </si>
  <si>
    <t>王芳林,张云华</t>
  </si>
  <si>
    <t>F950031052152258</t>
  </si>
  <si>
    <t>夏绍伦</t>
  </si>
  <si>
    <t>F950033015745335</t>
  </si>
  <si>
    <t>何安云</t>
  </si>
  <si>
    <t>F950037160277408</t>
  </si>
  <si>
    <t>林富英</t>
  </si>
  <si>
    <t>F950038065589927</t>
  </si>
  <si>
    <t>罗学枝</t>
  </si>
  <si>
    <t>罗学枝,夏先洪,夏金川</t>
  </si>
  <si>
    <t>F950038551526877</t>
  </si>
  <si>
    <t>陈远凤</t>
  </si>
  <si>
    <t>F950038607464704</t>
  </si>
  <si>
    <t>王炳珍</t>
  </si>
  <si>
    <t>雷少明,雷睿林,王炳珍</t>
  </si>
  <si>
    <t>F950038734183473</t>
  </si>
  <si>
    <t>邱子善</t>
  </si>
  <si>
    <t>F950044065277148</t>
  </si>
  <si>
    <t>张秀珍</t>
  </si>
  <si>
    <t>F998539345676807</t>
  </si>
  <si>
    <t>何炆穗,何国伦</t>
  </si>
  <si>
    <t>F248585725923836</t>
  </si>
  <si>
    <t>先锋村委会</t>
  </si>
  <si>
    <t>童恩国</t>
  </si>
  <si>
    <t>童恩国,熊少文</t>
  </si>
  <si>
    <t>F415174420001561</t>
  </si>
  <si>
    <t>税必华</t>
  </si>
  <si>
    <t>税必华,税中康,税希嫒</t>
  </si>
  <si>
    <t>F415181955791567</t>
  </si>
  <si>
    <t>余淑容</t>
  </si>
  <si>
    <t>陈德才,陈富平,余淑容,陈富昌,陈林,陈梦茹</t>
  </si>
  <si>
    <t>F415199967371541</t>
  </si>
  <si>
    <t>何根德</t>
  </si>
  <si>
    <t>唐科香,何双江,何根德</t>
  </si>
  <si>
    <t>F494846873347987</t>
  </si>
  <si>
    <t>张贤银</t>
  </si>
  <si>
    <t>杨洪霞,张家荣,张贤银</t>
  </si>
  <si>
    <t>F733427642927686</t>
  </si>
  <si>
    <t>杨清介</t>
  </si>
  <si>
    <t>唐光秀,杨清介</t>
  </si>
  <si>
    <t>F762523373818005</t>
  </si>
  <si>
    <t>王林友</t>
  </si>
  <si>
    <t>王洪梅,王林友</t>
  </si>
  <si>
    <t>F910610113650808</t>
  </si>
  <si>
    <t>谢再华</t>
  </si>
  <si>
    <t>F940298796267412</t>
  </si>
  <si>
    <t>潘福明</t>
  </si>
  <si>
    <t>潘福明,廖廷贵</t>
  </si>
  <si>
    <t>F940307894548012</t>
  </si>
  <si>
    <t>童启元</t>
  </si>
  <si>
    <t>童超,包万素,童浩杰,童启元</t>
  </si>
  <si>
    <t>F949984450589575</t>
  </si>
  <si>
    <t>何国富</t>
  </si>
  <si>
    <t>F950009847152081</t>
  </si>
  <si>
    <t>刘友亮</t>
  </si>
  <si>
    <t>鄢胜容,刘友亮,刘玉霞</t>
  </si>
  <si>
    <t>F950013701526886</t>
  </si>
  <si>
    <t>曾兴慧</t>
  </si>
  <si>
    <t>杨中学,曾兴慧</t>
  </si>
  <si>
    <t>F950013725433214</t>
  </si>
  <si>
    <t>刘福平</t>
  </si>
  <si>
    <t>张荣春,刘福平,刘琴</t>
  </si>
  <si>
    <t>F950014935276705</t>
  </si>
  <si>
    <t>邱兴容</t>
  </si>
  <si>
    <t>F950015002151949</t>
  </si>
  <si>
    <t>戴成银</t>
  </si>
  <si>
    <t>戴恭瑜,戴成银</t>
  </si>
  <si>
    <t>F950015239339369</t>
  </si>
  <si>
    <t>刘连贵</t>
  </si>
  <si>
    <t>F950016715120655</t>
  </si>
  <si>
    <t>王正英</t>
  </si>
  <si>
    <t>张芮源,王正英,张贤超</t>
  </si>
  <si>
    <t>F950018621370282</t>
  </si>
  <si>
    <t>杨才国</t>
  </si>
  <si>
    <t>杨才国,杨琴</t>
  </si>
  <si>
    <t>F950020465120770</t>
  </si>
  <si>
    <t>谭桂明,王林友,王艳,王娟</t>
  </si>
  <si>
    <t>F950020777152271</t>
  </si>
  <si>
    <t>任清蓉</t>
  </si>
  <si>
    <t>任清蓉,何太林,何春燕</t>
  </si>
  <si>
    <t>F950022603245493</t>
  </si>
  <si>
    <t>胡宽金</t>
  </si>
  <si>
    <t>F950022608714478</t>
  </si>
  <si>
    <t>贺宗秀</t>
  </si>
  <si>
    <t>贺宗秀,林正万</t>
  </si>
  <si>
    <t>F950024389964490</t>
  </si>
  <si>
    <t>刘泽芝</t>
  </si>
  <si>
    <t>刘泽芝,徐崇邱,徐景国</t>
  </si>
  <si>
    <t>F950024799339483</t>
  </si>
  <si>
    <t>苟月林</t>
  </si>
  <si>
    <t>F950024903401805</t>
  </si>
  <si>
    <t>林正高</t>
  </si>
  <si>
    <t>林正高,林松</t>
  </si>
  <si>
    <t>F950026032151753</t>
  </si>
  <si>
    <t>贺宗珍</t>
  </si>
  <si>
    <t>贺宗珍,王情,罗明方</t>
  </si>
  <si>
    <t>F950026850901867</t>
  </si>
  <si>
    <t>王林银</t>
  </si>
  <si>
    <t>王露萍,王林银,王治钞,夏生秀,张立芝</t>
  </si>
  <si>
    <t>F950028480276764</t>
  </si>
  <si>
    <t>胡代坤</t>
  </si>
  <si>
    <t>胡代坤,刘桃,胡宇昊,胡蕊</t>
  </si>
  <si>
    <t>F950029059651701</t>
  </si>
  <si>
    <t>王志林</t>
  </si>
  <si>
    <t>王志林,王兴容,王瀚玉,王雅莉</t>
  </si>
  <si>
    <t>F950029971995578</t>
  </si>
  <si>
    <t>王林贵</t>
  </si>
  <si>
    <t>F950030259651696</t>
  </si>
  <si>
    <t>周艮香</t>
  </si>
  <si>
    <t>熊根莲,王小东,周艮香,王婷,王正江</t>
  </si>
  <si>
    <t>F950030816996110</t>
  </si>
  <si>
    <t>何国芳</t>
  </si>
  <si>
    <t>贺跃强,何国芳,李健</t>
  </si>
  <si>
    <t>F950030931214181</t>
  </si>
  <si>
    <t>鄢代明</t>
  </si>
  <si>
    <t>鄢代明,鄢盛东</t>
  </si>
  <si>
    <t>F950031216839443</t>
  </si>
  <si>
    <t>唐英</t>
  </si>
  <si>
    <t>唐英,唐安全,何朝秀</t>
  </si>
  <si>
    <t>F950031801839482</t>
  </si>
  <si>
    <t>张贤武</t>
  </si>
  <si>
    <t>张贤武,费英,张钰,杨荣珍,张蜜桃</t>
  </si>
  <si>
    <t>F950032857933044</t>
  </si>
  <si>
    <t>张英明</t>
  </si>
  <si>
    <t>F950034402620928</t>
  </si>
  <si>
    <t>陶祖秀</t>
  </si>
  <si>
    <t>F950034485745838</t>
  </si>
  <si>
    <t>刘忠明</t>
  </si>
  <si>
    <t>F950034919964525</t>
  </si>
  <si>
    <t>F950035884183045</t>
  </si>
  <si>
    <t>高洪富</t>
  </si>
  <si>
    <t>王贵富,高豹,高伟,高洪富,税必蓉</t>
  </si>
  <si>
    <t>F950036890121176</t>
  </si>
  <si>
    <t>王安秀,何太雨,何太玲,何国军</t>
  </si>
  <si>
    <t>F950037101214812</t>
  </si>
  <si>
    <t>戴成富</t>
  </si>
  <si>
    <t>刘鑫田,蒲洁,蒲玮,王青虹,戴浩然,戴成富</t>
  </si>
  <si>
    <t>F950038111214745</t>
  </si>
  <si>
    <t>张福春</t>
  </si>
  <si>
    <t>F950038361526648</t>
  </si>
  <si>
    <t>罗绍友</t>
  </si>
  <si>
    <t>王科翔,王仙,罗处莲,罗绍友,王远林</t>
  </si>
  <si>
    <t>F950038448402163</t>
  </si>
  <si>
    <t>赵芬</t>
  </si>
  <si>
    <t>F950039158245268</t>
  </si>
  <si>
    <t>何国连</t>
  </si>
  <si>
    <t>何国连,文华,文弟宣</t>
  </si>
  <si>
    <t>F950039971370839</t>
  </si>
  <si>
    <t>龚艮高</t>
  </si>
  <si>
    <t>龚艮高,何行香,龚万军</t>
  </si>
  <si>
    <t>F950040791214894</t>
  </si>
  <si>
    <t>徐景银</t>
  </si>
  <si>
    <t>徐崇波,徐景银</t>
  </si>
  <si>
    <t>F950040920433247</t>
  </si>
  <si>
    <t>罗自富</t>
  </si>
  <si>
    <t>F950042230902018</t>
  </si>
  <si>
    <t>林国成</t>
  </si>
  <si>
    <t>F971752229404490</t>
  </si>
  <si>
    <t>贾华英</t>
  </si>
  <si>
    <t>F043007566856581</t>
  </si>
  <si>
    <t>石堰村委会</t>
  </si>
  <si>
    <t>夏生富</t>
  </si>
  <si>
    <t>夏智鹏,何安凤,夏靖,夏生富,范桂香</t>
  </si>
  <si>
    <t>F043012688069262</t>
  </si>
  <si>
    <t>穆峻辉</t>
  </si>
  <si>
    <t>F204316710095584</t>
  </si>
  <si>
    <t>刘红</t>
  </si>
  <si>
    <t>刘红,杨华,杨显兵</t>
  </si>
  <si>
    <t>F212523993216753</t>
  </si>
  <si>
    <t>曹代荣</t>
  </si>
  <si>
    <t>李进,曹代荣</t>
  </si>
  <si>
    <t>F248572825955489</t>
  </si>
  <si>
    <t>傅绍斌</t>
  </si>
  <si>
    <t>傅强,傅钰,杨静,杨云茜,傅绍斌,夏统春,傅贵</t>
  </si>
  <si>
    <t>F292181898197304</t>
  </si>
  <si>
    <t>焦万东</t>
  </si>
  <si>
    <t>焦万东,焦子涵,焦子皓,焦心怡</t>
  </si>
  <si>
    <t>F308014710317067</t>
  </si>
  <si>
    <t>费荣秀</t>
  </si>
  <si>
    <t>F391405895152586</t>
  </si>
  <si>
    <t>张文桂</t>
  </si>
  <si>
    <t>张文桂,杨显军</t>
  </si>
  <si>
    <t>F419088731158583</t>
  </si>
  <si>
    <t>张照波</t>
  </si>
  <si>
    <t>张琴,张明远,张世晨,张照波</t>
  </si>
  <si>
    <t>F471811339143573</t>
  </si>
  <si>
    <t>张启安</t>
  </si>
  <si>
    <t>张淼,张启安,钟珍华</t>
  </si>
  <si>
    <t>F570412676970594</t>
  </si>
  <si>
    <t>胡千珍</t>
  </si>
  <si>
    <t>李泳坤,胡千珍</t>
  </si>
  <si>
    <t>F627003215023301</t>
  </si>
  <si>
    <t>杨显军</t>
  </si>
  <si>
    <t>杨梨苹,祝富英,杨紫苑,杨显军</t>
  </si>
  <si>
    <t>F627009176117065</t>
  </si>
  <si>
    <t>张光弟</t>
  </si>
  <si>
    <t>邱兴群,张光弟</t>
  </si>
  <si>
    <t>F705670078817519</t>
  </si>
  <si>
    <t>王林友,王秀武,张德莲</t>
  </si>
  <si>
    <t>F949982021683467</t>
  </si>
  <si>
    <t>王林术</t>
  </si>
  <si>
    <t>钟宣荣,王林术,杨兴连,王钞</t>
  </si>
  <si>
    <t>F949982464183060</t>
  </si>
  <si>
    <t>王林书</t>
  </si>
  <si>
    <t>王红,王林书,包昌惠</t>
  </si>
  <si>
    <t>F949984034183122</t>
  </si>
  <si>
    <t>邓叔华</t>
  </si>
  <si>
    <t>F949984190432747</t>
  </si>
  <si>
    <t>余应琼</t>
  </si>
  <si>
    <t>余应琼,曾秀明</t>
  </si>
  <si>
    <t>F949990001370684</t>
  </si>
  <si>
    <t>廖思友</t>
  </si>
  <si>
    <t>廖思友,吴永秀</t>
  </si>
  <si>
    <t>F949990217309003</t>
  </si>
  <si>
    <t>张登银</t>
  </si>
  <si>
    <t>F949990323401698</t>
  </si>
  <si>
    <t>吕中明</t>
  </si>
  <si>
    <t>F950009706214333</t>
  </si>
  <si>
    <t>兰昌明</t>
  </si>
  <si>
    <t>兰颀雨,兰永香,兰昌明</t>
  </si>
  <si>
    <t>F950009795276851</t>
  </si>
  <si>
    <t>曾全发</t>
  </si>
  <si>
    <t>曾加红,费泽银,曾全发,曾兴宇</t>
  </si>
  <si>
    <t>F950011405589528</t>
  </si>
  <si>
    <t>张照方</t>
  </si>
  <si>
    <t>罗发英,张照方,张世洪,张力恒</t>
  </si>
  <si>
    <t>F950011719964248</t>
  </si>
  <si>
    <t>张明山</t>
  </si>
  <si>
    <t>张明山,吴俊珍</t>
  </si>
  <si>
    <t>F950011738870846</t>
  </si>
  <si>
    <t>张忠秀</t>
  </si>
  <si>
    <t>F950012949027380</t>
  </si>
  <si>
    <t>万珍秀</t>
  </si>
  <si>
    <t>陆俊秀,陆平,陆玉祥,万珍秀</t>
  </si>
  <si>
    <t>F950013108558162</t>
  </si>
  <si>
    <t>黄克均</t>
  </si>
  <si>
    <t>曾加贵,钟朝容,黄克均,曾全明</t>
  </si>
  <si>
    <t>F950013116839024</t>
  </si>
  <si>
    <t>万树英</t>
  </si>
  <si>
    <t>万永恒,万树英,何安秀,万才平,万欣梅</t>
  </si>
  <si>
    <t>F950013389652370</t>
  </si>
  <si>
    <t>黄开友</t>
  </si>
  <si>
    <t>F950014503870304</t>
  </si>
  <si>
    <t>何元菊</t>
  </si>
  <si>
    <t>何元菊,宋德军,宋自才,宋仪,宋林</t>
  </si>
  <si>
    <t>F950014722932988</t>
  </si>
  <si>
    <t>王瑶伦</t>
  </si>
  <si>
    <t>F950014824808109</t>
  </si>
  <si>
    <t>狄仕均</t>
  </si>
  <si>
    <t>胡小平,狄春梅,狄仕均,狄思平</t>
  </si>
  <si>
    <t>F950014929026602</t>
  </si>
  <si>
    <t>王林汉</t>
  </si>
  <si>
    <t>F950015162932995</t>
  </si>
  <si>
    <t>邓盛财</t>
  </si>
  <si>
    <t>F950015218245362</t>
  </si>
  <si>
    <t>尹龙旭</t>
  </si>
  <si>
    <t>尹龙旭,左桂琼,尹荣浩,尹丹</t>
  </si>
  <si>
    <t>F950015651214353</t>
  </si>
  <si>
    <t>黄武军</t>
  </si>
  <si>
    <t>李光玲,黄武军</t>
  </si>
  <si>
    <t>F950020537464696</t>
  </si>
  <si>
    <t>曾全均</t>
  </si>
  <si>
    <t>F950020726996089</t>
  </si>
  <si>
    <t>袁华</t>
  </si>
  <si>
    <t>F950020773713992</t>
  </si>
  <si>
    <t>夏春秀</t>
  </si>
  <si>
    <t>夏春秀,夏绍富</t>
  </si>
  <si>
    <t>F950022515589419</t>
  </si>
  <si>
    <t>彭邦林</t>
  </si>
  <si>
    <t>彭邦林,蔡德春,彭泽强</t>
  </si>
  <si>
    <t>F950024553714114</t>
  </si>
  <si>
    <t>费泽娥</t>
  </si>
  <si>
    <t>张光方,费泽娥,张明远,宋自莲,王萌煕</t>
  </si>
  <si>
    <t>F950024628089499</t>
  </si>
  <si>
    <t>高英付</t>
  </si>
  <si>
    <t>鄢代华,高英付</t>
  </si>
  <si>
    <t>F950024693245141</t>
  </si>
  <si>
    <t>张世富</t>
  </si>
  <si>
    <t>张永根,张世富,何太英</t>
  </si>
  <si>
    <t>F950024751839255</t>
  </si>
  <si>
    <t>童恩秀</t>
  </si>
  <si>
    <t>F950026047620303</t>
  </si>
  <si>
    <t>范友荣</t>
  </si>
  <si>
    <t>范友荣,曹代芬,范铁梅</t>
  </si>
  <si>
    <t>F950026106683312</t>
  </si>
  <si>
    <t>赵朝荣</t>
  </si>
  <si>
    <t>赵冬梅,狄思香,赵朝荣,赵秋红,赵思雨</t>
  </si>
  <si>
    <t>F950026468245744</t>
  </si>
  <si>
    <t>龚树秀</t>
  </si>
  <si>
    <t>龚树秀,刘宣鸿,刘泽银</t>
  </si>
  <si>
    <t>F950027014808096</t>
  </si>
  <si>
    <t>李进平</t>
  </si>
  <si>
    <t>李进平,李科银,胡朝香,孙仲莲</t>
  </si>
  <si>
    <t>F950028465745434</t>
  </si>
  <si>
    <t>陈洪珍</t>
  </si>
  <si>
    <t>F950028580276943</t>
  </si>
  <si>
    <t>卢桂芝</t>
  </si>
  <si>
    <t>F950028754339582</t>
  </si>
  <si>
    <t>陆永强</t>
  </si>
  <si>
    <t>F950028796058240</t>
  </si>
  <si>
    <t>张福英</t>
  </si>
  <si>
    <t>张福英,卢国星</t>
  </si>
  <si>
    <t>F950028974495350</t>
  </si>
  <si>
    <t>何元俊</t>
  </si>
  <si>
    <t>何元俊,何平</t>
  </si>
  <si>
    <t>F950029040745379</t>
  </si>
  <si>
    <t>张忠福</t>
  </si>
  <si>
    <t>包万英,张忠福</t>
  </si>
  <si>
    <t>F950029139339477</t>
  </si>
  <si>
    <t>曾秀莲</t>
  </si>
  <si>
    <t>F950029209027262</t>
  </si>
  <si>
    <t>罗仕芳</t>
  </si>
  <si>
    <t>F950029746058471</t>
  </si>
  <si>
    <t>张照英</t>
  </si>
  <si>
    <t>张照英,杨彦卓,杨俊文</t>
  </si>
  <si>
    <t>F950029869964515</t>
  </si>
  <si>
    <t>祝清有</t>
  </si>
  <si>
    <t>F950029950589515</t>
  </si>
  <si>
    <t>袁贵珍</t>
  </si>
  <si>
    <t>F950029964651958</t>
  </si>
  <si>
    <t>陈百花</t>
  </si>
  <si>
    <t>陈百花,方文武</t>
  </si>
  <si>
    <t>F950030011526942</t>
  </si>
  <si>
    <t>张兵</t>
  </si>
  <si>
    <t>F950030022776616</t>
  </si>
  <si>
    <t>王承荣</t>
  </si>
  <si>
    <t>F950030241058192</t>
  </si>
  <si>
    <t>穆其林</t>
  </si>
  <si>
    <t>F950030702151973</t>
  </si>
  <si>
    <t>杨连宽</t>
  </si>
  <si>
    <t>杨连宽,杨渝秋,杨玉茹,夏开莲</t>
  </si>
  <si>
    <t>F950030793245713</t>
  </si>
  <si>
    <t>杨显琼</t>
  </si>
  <si>
    <t>F950031928089252</t>
  </si>
  <si>
    <t>范宗英</t>
  </si>
  <si>
    <t>范宗英,李进文</t>
  </si>
  <si>
    <t>F950031935276573</t>
  </si>
  <si>
    <t>熊绍华</t>
  </si>
  <si>
    <t>F950032379027269</t>
  </si>
  <si>
    <t>王佳明</t>
  </si>
  <si>
    <t>王佳明,李茂云,王承辉,王秋梅</t>
  </si>
  <si>
    <t>F950032479495580</t>
  </si>
  <si>
    <t>曾全银</t>
  </si>
  <si>
    <t>曾全银,郭朝秀</t>
  </si>
  <si>
    <t>F950032566683168</t>
  </si>
  <si>
    <t>蔡德珍</t>
  </si>
  <si>
    <t>F950032574964466</t>
  </si>
  <si>
    <t>曹春芝</t>
  </si>
  <si>
    <t>F950032597776721</t>
  </si>
  <si>
    <t>莫光容</t>
  </si>
  <si>
    <t>F950032832308244</t>
  </si>
  <si>
    <t>刘才明</t>
  </si>
  <si>
    <t>F950033045433261</t>
  </si>
  <si>
    <t>曾兴东</t>
  </si>
  <si>
    <t>金银容,曾兴东,曾加元</t>
  </si>
  <si>
    <t>F950033808089663</t>
  </si>
  <si>
    <t>李世军</t>
  </si>
  <si>
    <t>牟利春,李世军,李泽森</t>
  </si>
  <si>
    <t>F950033819183078</t>
  </si>
  <si>
    <t>张明先</t>
  </si>
  <si>
    <t>罗伟宸,张明先,罗喜月</t>
  </si>
  <si>
    <t>F950034195589687</t>
  </si>
  <si>
    <t>张登平</t>
  </si>
  <si>
    <t>范小燕,张波,张登平</t>
  </si>
  <si>
    <t>F950034266370602</t>
  </si>
  <si>
    <t>欧树青</t>
  </si>
  <si>
    <t>张登凤,欧树青</t>
  </si>
  <si>
    <t>F950034374495519</t>
  </si>
  <si>
    <t>黄桃芝</t>
  </si>
  <si>
    <t>F950034464964466</t>
  </si>
  <si>
    <t>邓永珍</t>
  </si>
  <si>
    <t>F950034925902392</t>
  </si>
  <si>
    <t>兰昌贵</t>
  </si>
  <si>
    <t>兰昌贵,王瑞芝</t>
  </si>
  <si>
    <t>F950034963870242</t>
  </si>
  <si>
    <t>张桓,张成,张桔,曾加旭,张光清</t>
  </si>
  <si>
    <t>F950035135277284</t>
  </si>
  <si>
    <t>陈春凤</t>
  </si>
  <si>
    <t>张沁柠,陈春凤</t>
  </si>
  <si>
    <t>F950035808871037</t>
  </si>
  <si>
    <t>钟加友</t>
  </si>
  <si>
    <t>F950036404339264</t>
  </si>
  <si>
    <t>石桂芝</t>
  </si>
  <si>
    <t>陈杨星,石桂芝,陈星宇,陈虹宇,何容</t>
  </si>
  <si>
    <t>F950036685276635</t>
  </si>
  <si>
    <t>王如秀</t>
  </si>
  <si>
    <t>F950036804027203</t>
  </si>
  <si>
    <t>曾兴华</t>
  </si>
  <si>
    <t>曾兴华,曾仁力</t>
  </si>
  <si>
    <t>F950036978557930</t>
  </si>
  <si>
    <t>张文才</t>
  </si>
  <si>
    <t>F950037025745646</t>
  </si>
  <si>
    <t>张照昌</t>
  </si>
  <si>
    <t>F950037866058260</t>
  </si>
  <si>
    <t>王林正</t>
  </si>
  <si>
    <t>F950037926370410</t>
  </si>
  <si>
    <t>F950038245589608</t>
  </si>
  <si>
    <t>罗水珍</t>
  </si>
  <si>
    <t>F950038388558036</t>
  </si>
  <si>
    <t>姜兴昌</t>
  </si>
  <si>
    <t>姜兴昌,姜大军,唐建枝</t>
  </si>
  <si>
    <t>F950038579496032</t>
  </si>
  <si>
    <t>张先科</t>
  </si>
  <si>
    <t>王学梅,张先科,张德富,张义杭</t>
  </si>
  <si>
    <t>F950038760120592</t>
  </si>
  <si>
    <t>狄世全</t>
  </si>
  <si>
    <t>狄晓余,王旭荣,费功秀,狄世全,王桃</t>
  </si>
  <si>
    <t>F950039174495901</t>
  </si>
  <si>
    <t>谌锡全</t>
  </si>
  <si>
    <t>F950039886214439</t>
  </si>
  <si>
    <t>万晓红</t>
  </si>
  <si>
    <t>万晓红,喻盛缘,喻钱,喻胜梅,万世根</t>
  </si>
  <si>
    <t>F950039948401980</t>
  </si>
  <si>
    <t>刘才六</t>
  </si>
  <si>
    <t>刘泽芝,刘才六</t>
  </si>
  <si>
    <t>F950040060149713</t>
  </si>
  <si>
    <t>彭开香</t>
  </si>
  <si>
    <t>F950040176215127</t>
  </si>
  <si>
    <t>郑国琼</t>
  </si>
  <si>
    <t>F950040449339482</t>
  </si>
  <si>
    <t>黄登元</t>
  </si>
  <si>
    <t>F950041213245560</t>
  </si>
  <si>
    <t>付连珍</t>
  </si>
  <si>
    <t>F950041953089384</t>
  </si>
  <si>
    <t>包金仁</t>
  </si>
  <si>
    <t>林刚,林孝艳,包万芝,林胜贤,包金仁</t>
  </si>
  <si>
    <t>F950042026058210</t>
  </si>
  <si>
    <t>张仕明</t>
  </si>
  <si>
    <t>张仕明,张二凡,杨林英</t>
  </si>
  <si>
    <t>F950042376214265</t>
  </si>
  <si>
    <t>曾全本</t>
  </si>
  <si>
    <t>F950042686527208</t>
  </si>
  <si>
    <t>许在英</t>
  </si>
  <si>
    <t>F950042758870402</t>
  </si>
  <si>
    <t>刘泽云</t>
  </si>
  <si>
    <t>F950043325433733</t>
  </si>
  <si>
    <t>唐建清</t>
  </si>
  <si>
    <t>唐建清,田临大,田国位,田械宏</t>
  </si>
  <si>
    <t>F950044078714521</t>
  </si>
  <si>
    <t>曾加友</t>
  </si>
  <si>
    <t>F950044123558140</t>
  </si>
  <si>
    <t>张照竹</t>
  </si>
  <si>
    <t>F950044416214637</t>
  </si>
  <si>
    <t>宋志林</t>
  </si>
  <si>
    <t>F950044545902026</t>
  </si>
  <si>
    <t>唐兴枝</t>
  </si>
  <si>
    <t>F971696838894735</t>
  </si>
  <si>
    <t>刘泽英,王佳欣,何秀德,王兵,王浩宇</t>
  </si>
  <si>
    <t>F995649173870411</t>
  </si>
  <si>
    <t>王秀明</t>
  </si>
  <si>
    <t>王秀明,韦廷连</t>
  </si>
  <si>
    <t>F001798268662444</t>
  </si>
  <si>
    <t>乐群村委会</t>
  </si>
  <si>
    <t>曾加林</t>
  </si>
  <si>
    <t>F018810678416619</t>
  </si>
  <si>
    <t>万秋永</t>
  </si>
  <si>
    <t>张璐,张蕾,万秋永</t>
  </si>
  <si>
    <t>F025870602010358</t>
  </si>
  <si>
    <t>曾忠芝</t>
  </si>
  <si>
    <t>周月军,曾忠芝</t>
  </si>
  <si>
    <t>F178063888998252</t>
  </si>
  <si>
    <t>黄松芝</t>
  </si>
  <si>
    <t>李进容,黄松芝,李黄明</t>
  </si>
  <si>
    <t>F284705361129896</t>
  </si>
  <si>
    <t>王瑶树</t>
  </si>
  <si>
    <t>王瑶树,王子奇</t>
  </si>
  <si>
    <t>F437410583504373</t>
  </si>
  <si>
    <t>董德荣</t>
  </si>
  <si>
    <t>F442867516561562</t>
  </si>
  <si>
    <t>余义根</t>
  </si>
  <si>
    <t>余义根,高再富</t>
  </si>
  <si>
    <t>F494823746317950</t>
  </si>
  <si>
    <t>李康</t>
  </si>
  <si>
    <t>李明宇,周安坤,李康,李道友</t>
  </si>
  <si>
    <t>F494842131717987</t>
  </si>
  <si>
    <t>万和永</t>
  </si>
  <si>
    <t>尹显珍,万成涛,万和永,万伊婷</t>
  </si>
  <si>
    <t>F680199072337855</t>
  </si>
  <si>
    <t>余保珍</t>
  </si>
  <si>
    <t>F755186939104378</t>
  </si>
  <si>
    <t>唐方英</t>
  </si>
  <si>
    <t>F805907002889501</t>
  </si>
  <si>
    <t>张兰吉</t>
  </si>
  <si>
    <t>F835394533693737</t>
  </si>
  <si>
    <t>宋佼燕</t>
  </si>
  <si>
    <t>F888777162568581</t>
  </si>
  <si>
    <t>伍济胜</t>
  </si>
  <si>
    <t>费功连,伍济胜</t>
  </si>
  <si>
    <t>F949982098714200</t>
  </si>
  <si>
    <t>候泽贵</t>
  </si>
  <si>
    <t>候明佳,李仁会,候明滈,候鳗洪,侯明君,候富英,候泽贵</t>
  </si>
  <si>
    <t>F949982121526958</t>
  </si>
  <si>
    <t>杨甲珍</t>
  </si>
  <si>
    <t>任晓艳,杨甲珍,刘福连,任忠品,任晓梅</t>
  </si>
  <si>
    <t>F949982442151679</t>
  </si>
  <si>
    <t>兰昌平</t>
  </si>
  <si>
    <t>F949982511370297</t>
  </si>
  <si>
    <t>伍元芬</t>
  </si>
  <si>
    <t>万强永,伍元芬</t>
  </si>
  <si>
    <t>F949984084339028</t>
  </si>
  <si>
    <t>唐建友</t>
  </si>
  <si>
    <t>唐婷,唐建友,罗天俊,王梦斓</t>
  </si>
  <si>
    <t>F949984207620944</t>
  </si>
  <si>
    <t>童启文</t>
  </si>
  <si>
    <t>童启文,何国艳,何安贵</t>
  </si>
  <si>
    <t>F949984355276942</t>
  </si>
  <si>
    <t>杨林昌</t>
  </si>
  <si>
    <t>F949986056839646</t>
  </si>
  <si>
    <t>万平永</t>
  </si>
  <si>
    <t>万平永,唐萍</t>
  </si>
  <si>
    <t>F949986137308284</t>
  </si>
  <si>
    <t>伍秋乾</t>
  </si>
  <si>
    <t>张兆容,伍秋乾,罗书连</t>
  </si>
  <si>
    <t>F949988247307791</t>
  </si>
  <si>
    <t>马国枝</t>
  </si>
  <si>
    <t>张明海,张治国,马国枝</t>
  </si>
  <si>
    <t>F949990017308069</t>
  </si>
  <si>
    <t>万超永</t>
  </si>
  <si>
    <t>F949990319964401</t>
  </si>
  <si>
    <t>慕希池</t>
  </si>
  <si>
    <t>何林家,慕希池,何林根,胡世珍</t>
  </si>
  <si>
    <t>F950009580589401</t>
  </si>
  <si>
    <t>谢清富</t>
  </si>
  <si>
    <t>谢梦佳,谢清富,谢敏,谢思吉,邱云根</t>
  </si>
  <si>
    <t>F950009826683239</t>
  </si>
  <si>
    <t>赵连军</t>
  </si>
  <si>
    <t>赵连军,赵超成</t>
  </si>
  <si>
    <t>F950011329651735</t>
  </si>
  <si>
    <t>何行贵</t>
  </si>
  <si>
    <t>何行贵,杨朝斌</t>
  </si>
  <si>
    <t>F950011408558231</t>
  </si>
  <si>
    <t>万维永</t>
  </si>
  <si>
    <t>万红梅,万维永,万世利,万林</t>
  </si>
  <si>
    <t>F950011508089361</t>
  </si>
  <si>
    <t>万才仁</t>
  </si>
  <si>
    <t>万吉,万奎永,万才仁,王成秀</t>
  </si>
  <si>
    <t>F950011511370946</t>
  </si>
  <si>
    <t>王林友,张登秀,王榆钞,王秀文</t>
  </si>
  <si>
    <t>F950011741214388</t>
  </si>
  <si>
    <t>王林珍</t>
  </si>
  <si>
    <t>王林珍,李先明</t>
  </si>
  <si>
    <t>F950012885901892</t>
  </si>
  <si>
    <t>伍春洪</t>
  </si>
  <si>
    <t>黄桂英,伍秋兵,伍春洪</t>
  </si>
  <si>
    <t>F950012962620762</t>
  </si>
  <si>
    <t>陈华江</t>
  </si>
  <si>
    <t>陈华江,陈斌</t>
  </si>
  <si>
    <t>F950014333870593</t>
  </si>
  <si>
    <t>唐建康</t>
  </si>
  <si>
    <t>F950014388089619</t>
  </si>
  <si>
    <t>高玉孝</t>
  </si>
  <si>
    <t>F950014788870525</t>
  </si>
  <si>
    <t>包昌英</t>
  </si>
  <si>
    <t>F950014813401722</t>
  </si>
  <si>
    <t>兰斌富</t>
  </si>
  <si>
    <t>F950015320432773</t>
  </si>
  <si>
    <t>高荣富</t>
  </si>
  <si>
    <t>F950016372308656</t>
  </si>
  <si>
    <t>聂登友</t>
  </si>
  <si>
    <t>F950016509496071</t>
  </si>
  <si>
    <t>张阳芝</t>
  </si>
  <si>
    <t>宋富琼,王峻熙,王涛,王林洪,张阳芝,王广,杨婷</t>
  </si>
  <si>
    <t>F950016740745879</t>
  </si>
  <si>
    <t>王金琼</t>
  </si>
  <si>
    <t>F950016784495259</t>
  </si>
  <si>
    <t>兰廷芬</t>
  </si>
  <si>
    <t>F950018381214800</t>
  </si>
  <si>
    <t>徐强</t>
  </si>
  <si>
    <t>F950018392151829</t>
  </si>
  <si>
    <t>兰昌金</t>
  </si>
  <si>
    <t>邱龙珍,兰昌金</t>
  </si>
  <si>
    <t>F950018565746023</t>
  </si>
  <si>
    <t>何行友</t>
  </si>
  <si>
    <t>何行友,张和连,何安兵,何佳励</t>
  </si>
  <si>
    <t>F950018579183833</t>
  </si>
  <si>
    <t>汪耀凤</t>
  </si>
  <si>
    <t>F950018761996053</t>
  </si>
  <si>
    <t>霍超芝</t>
  </si>
  <si>
    <t>F950020698089295</t>
  </si>
  <si>
    <t>兰昌田</t>
  </si>
  <si>
    <t>兰昌田,张永芝,兰友</t>
  </si>
  <si>
    <t>F950020744964543</t>
  </si>
  <si>
    <t>何国兴</t>
  </si>
  <si>
    <t>何国兴,何平,黄良书,何太富,王正兴,何婷</t>
  </si>
  <si>
    <t>F950022470589513</t>
  </si>
  <si>
    <t>兰永忠</t>
  </si>
  <si>
    <t>兰永忠,兰雪梅</t>
  </si>
  <si>
    <t>F950022557308098</t>
  </si>
  <si>
    <t>兰廷高</t>
  </si>
  <si>
    <t>兰昌斌,兰廷高,兰丽滟,谭玉娥,兰昌顺</t>
  </si>
  <si>
    <t>F950022564964368</t>
  </si>
  <si>
    <t>胡旭周</t>
  </si>
  <si>
    <t>F950022606058062</t>
  </si>
  <si>
    <t>伍秋富</t>
  </si>
  <si>
    <t>伍秋富,黄树仙</t>
  </si>
  <si>
    <t>F950022637308177</t>
  </si>
  <si>
    <t>杨尚秀</t>
  </si>
  <si>
    <t>万杰华,杨尚秀,万银富,万杰连,万婷菁</t>
  </si>
  <si>
    <t>F950025038245690</t>
  </si>
  <si>
    <t>胥江蓉</t>
  </si>
  <si>
    <t>胥江蓉,温秀文</t>
  </si>
  <si>
    <t>F950025192776996</t>
  </si>
  <si>
    <t>万才余</t>
  </si>
  <si>
    <t>万才余,万春霞</t>
  </si>
  <si>
    <t>F950025976839564</t>
  </si>
  <si>
    <t>赵凤珍</t>
  </si>
  <si>
    <t>F950026480901603</t>
  </si>
  <si>
    <t>宋永娥</t>
  </si>
  <si>
    <t>F950026511683302</t>
  </si>
  <si>
    <t>兰治林</t>
  </si>
  <si>
    <t>兰治林,鲁桂芳,兰沭浩</t>
  </si>
  <si>
    <t>F950026789651776</t>
  </si>
  <si>
    <t>唐方林</t>
  </si>
  <si>
    <t>范建珍,唐方林</t>
  </si>
  <si>
    <t>F950026898558191</t>
  </si>
  <si>
    <t>万仕金</t>
  </si>
  <si>
    <t>万晓琴,杨玉凤,黄久蓉,万加兴,万友儿,万芳,万仕金</t>
  </si>
  <si>
    <t>F950026980901597</t>
  </si>
  <si>
    <t>万世纲</t>
  </si>
  <si>
    <t>万世纲,杨寿芬</t>
  </si>
  <si>
    <t>F950026998089219</t>
  </si>
  <si>
    <t>刘凤平</t>
  </si>
  <si>
    <t>刘红江,刘凤平,刘霞</t>
  </si>
  <si>
    <t>F950028529027051</t>
  </si>
  <si>
    <t>刘泽江</t>
  </si>
  <si>
    <t>F950028569339065</t>
  </si>
  <si>
    <t>王瑶春</t>
  </si>
  <si>
    <t>F950028756995957</t>
  </si>
  <si>
    <t>万世琼</t>
  </si>
  <si>
    <t>刘琼,万世琼</t>
  </si>
  <si>
    <t>F950028882308744</t>
  </si>
  <si>
    <t>张应琼</t>
  </si>
  <si>
    <t>F950028957151756</t>
  </si>
  <si>
    <t>王正芝</t>
  </si>
  <si>
    <t>徐云贵,王正芝,王正友,王秋萍,徐洪</t>
  </si>
  <si>
    <t>F950029042933477</t>
  </si>
  <si>
    <t>蒋通长</t>
  </si>
  <si>
    <t>F950029843870721</t>
  </si>
  <si>
    <t>万松</t>
  </si>
  <si>
    <t>万杰宇,何太芝,万松,万军,万世界</t>
  </si>
  <si>
    <t>F950029961526615</t>
  </si>
  <si>
    <t>张立元</t>
  </si>
  <si>
    <t>张玉英,张立元</t>
  </si>
  <si>
    <t>F950030246370432</t>
  </si>
  <si>
    <t>万世秀</t>
  </si>
  <si>
    <t>万世秀,刘泽舒,刘泽全</t>
  </si>
  <si>
    <t>F950030339339509</t>
  </si>
  <si>
    <t>伍济康</t>
  </si>
  <si>
    <t>伍国动,伍济康,莫诗林</t>
  </si>
  <si>
    <t>F950030426996204</t>
  </si>
  <si>
    <t>夏先容</t>
  </si>
  <si>
    <t>F950030519183189</t>
  </si>
  <si>
    <t>潘立金</t>
  </si>
  <si>
    <t>F950030919651938</t>
  </si>
  <si>
    <t>万黄永</t>
  </si>
  <si>
    <t>万黄永,王云,廖永贵</t>
  </si>
  <si>
    <t>F950030923089534</t>
  </si>
  <si>
    <t>赖旭连</t>
  </si>
  <si>
    <t>赖旭连,万桂付</t>
  </si>
  <si>
    <t>F950031134339490</t>
  </si>
  <si>
    <t>王瑶军</t>
  </si>
  <si>
    <t>F950031144964763</t>
  </si>
  <si>
    <t>王正友</t>
  </si>
  <si>
    <t>王正友,王正仙</t>
  </si>
  <si>
    <t>F950031745277012</t>
  </si>
  <si>
    <t>邱治强</t>
  </si>
  <si>
    <t>F950031755120820</t>
  </si>
  <si>
    <t>蔡宗菁</t>
  </si>
  <si>
    <t>F950032060120603</t>
  </si>
  <si>
    <t>伍世春</t>
  </si>
  <si>
    <t>伍世春,鲁世清</t>
  </si>
  <si>
    <t>F950032210901583</t>
  </si>
  <si>
    <t>李忠伦</t>
  </si>
  <si>
    <t>F950032363401571</t>
  </si>
  <si>
    <t>温昌洪</t>
  </si>
  <si>
    <t>F950032428401662</t>
  </si>
  <si>
    <t>刘光富</t>
  </si>
  <si>
    <t>F950033156526931</t>
  </si>
  <si>
    <t>万斌永</t>
  </si>
  <si>
    <t>万子涵,万斌永</t>
  </si>
  <si>
    <t>F950033163089306</t>
  </si>
  <si>
    <t>蔡德容</t>
  </si>
  <si>
    <t>万鹏,万霞,蔡德容</t>
  </si>
  <si>
    <t>F950034014964578</t>
  </si>
  <si>
    <t>蔡德君</t>
  </si>
  <si>
    <t>F950034231839584</t>
  </si>
  <si>
    <t>兰昌弟</t>
  </si>
  <si>
    <t>F950034251839391</t>
  </si>
  <si>
    <t>杨根莲</t>
  </si>
  <si>
    <t>F950034642620609</t>
  </si>
  <si>
    <t>王瑶海</t>
  </si>
  <si>
    <t>王春洁,王瑶海,龚树群</t>
  </si>
  <si>
    <t>F950035149964825</t>
  </si>
  <si>
    <t>万出永</t>
  </si>
  <si>
    <t>万世军,万承礼,万出永,周友珍</t>
  </si>
  <si>
    <t>F950035817777131</t>
  </si>
  <si>
    <t>万茶永</t>
  </si>
  <si>
    <t>F950036006683473</t>
  </si>
  <si>
    <t>曹荣开</t>
  </si>
  <si>
    <t>周明珍,曹荣开,曹全明</t>
  </si>
  <si>
    <t>F950036012464285</t>
  </si>
  <si>
    <t>夏先翠</t>
  </si>
  <si>
    <t>F950036068714480</t>
  </si>
  <si>
    <t>李秀珍</t>
  </si>
  <si>
    <t>F950036117308059</t>
  </si>
  <si>
    <t>李永伦</t>
  </si>
  <si>
    <t>唐大秀,李晓英,李永伦</t>
  </si>
  <si>
    <t>F950036139496015</t>
  </si>
  <si>
    <t>兰斌强</t>
  </si>
  <si>
    <t>兰斌强,兰品东</t>
  </si>
  <si>
    <t>F950036150433637</t>
  </si>
  <si>
    <t>刘兴文</t>
  </si>
  <si>
    <t>F950036174183053</t>
  </si>
  <si>
    <t>汤龙友</t>
  </si>
  <si>
    <t>汤程翔,慕万枝,汤定平,汤龙友</t>
  </si>
  <si>
    <t>F950036268089462</t>
  </si>
  <si>
    <t>王勇</t>
  </si>
  <si>
    <t>F950036435277224</t>
  </si>
  <si>
    <t>高培富</t>
  </si>
  <si>
    <t>刘凤全,高培富</t>
  </si>
  <si>
    <t>F950036761214293</t>
  </si>
  <si>
    <t>兰虹娇</t>
  </si>
  <si>
    <t>F950037004964514</t>
  </si>
  <si>
    <t>杨小玲</t>
  </si>
  <si>
    <t>蒋宏利,杨小玲,蒋通胜,蒋宏杰</t>
  </si>
  <si>
    <t>F950037141839202</t>
  </si>
  <si>
    <t>夏生华</t>
  </si>
  <si>
    <t>F950037778245699</t>
  </si>
  <si>
    <t>万才树</t>
  </si>
  <si>
    <t>万键阳,万才树,万春利</t>
  </si>
  <si>
    <t>F950037890120318</t>
  </si>
  <si>
    <t>任清惠</t>
  </si>
  <si>
    <t>F950037941526805</t>
  </si>
  <si>
    <t>兰廷均</t>
  </si>
  <si>
    <t>F950038197933513</t>
  </si>
  <si>
    <t>刘加全</t>
  </si>
  <si>
    <t>廖国珍,刘加全</t>
  </si>
  <si>
    <t>F950038228402066</t>
  </si>
  <si>
    <t>王武</t>
  </si>
  <si>
    <t>F950038337776957</t>
  </si>
  <si>
    <t>万世山</t>
  </si>
  <si>
    <t>张在玉,万世山</t>
  </si>
  <si>
    <t>F950038567308159</t>
  </si>
  <si>
    <t>兰廷秀</t>
  </si>
  <si>
    <t>F950038572933172</t>
  </si>
  <si>
    <t>温锦伦</t>
  </si>
  <si>
    <t>F950038823870452</t>
  </si>
  <si>
    <t>潘英凤</t>
  </si>
  <si>
    <t>F950038844651508</t>
  </si>
  <si>
    <t>伍春府</t>
  </si>
  <si>
    <t>F950038895277344</t>
  </si>
  <si>
    <t>万罗永</t>
  </si>
  <si>
    <t>F950039142776880</t>
  </si>
  <si>
    <t>任贞富</t>
  </si>
  <si>
    <t>韦廷元,任贞富,任贞强,任向玮,任梦岚</t>
  </si>
  <si>
    <t>F950040419964490</t>
  </si>
  <si>
    <t>费功珍</t>
  </si>
  <si>
    <t>F950040816839079</t>
  </si>
  <si>
    <t>穆其友</t>
  </si>
  <si>
    <t>F950041129183021</t>
  </si>
  <si>
    <t>蔡章英</t>
  </si>
  <si>
    <t>F950041196058047</t>
  </si>
  <si>
    <t>张耀均</t>
  </si>
  <si>
    <t>F950041912308712</t>
  </si>
  <si>
    <t>何太香</t>
  </si>
  <si>
    <t>彭瑞,何太香</t>
  </si>
  <si>
    <t>F950042390902389</t>
  </si>
  <si>
    <t>高玉泽</t>
  </si>
  <si>
    <t>F950042607932923</t>
  </si>
  <si>
    <t>杨中甫</t>
  </si>
  <si>
    <t>王凤卿,胡福秀,杨群,杨中甫</t>
  </si>
  <si>
    <t>F950042645901968</t>
  </si>
  <si>
    <t>黄永忠</t>
  </si>
  <si>
    <t>王瑶香,黄永忠,黄治全</t>
  </si>
  <si>
    <t>F950042714026972</t>
  </si>
  <si>
    <t>王瑶桃</t>
  </si>
  <si>
    <t>王瑶桃,彭超</t>
  </si>
  <si>
    <t>F950042746683414</t>
  </si>
  <si>
    <t>曾全亮</t>
  </si>
  <si>
    <t>曾全亮,高玉秀</t>
  </si>
  <si>
    <t>F950042982152115</t>
  </si>
  <si>
    <t>万勤永</t>
  </si>
  <si>
    <t>万勤永,韦朝珍</t>
  </si>
  <si>
    <t>F950043118870642</t>
  </si>
  <si>
    <t>王瑶伯</t>
  </si>
  <si>
    <t>F950043968558520</t>
  </si>
  <si>
    <t>王青松</t>
  </si>
  <si>
    <t>王紫如,王小嫣,王正全,潘英秀,童小容,王青松</t>
  </si>
  <si>
    <t>F950044378245958</t>
  </si>
  <si>
    <t>蒋锱秀</t>
  </si>
  <si>
    <t>万登永,蒋锱秀,万柳君,万程豪,兰昌祺</t>
  </si>
  <si>
    <t>F950044462464406</t>
  </si>
  <si>
    <t>万仕江</t>
  </si>
  <si>
    <t>徐春梅,万仕江,万茹意,万吉祥,万瑞羽</t>
  </si>
  <si>
    <t>F950044881527250</t>
  </si>
  <si>
    <t>周安贵</t>
  </si>
  <si>
    <t>胡宽玉,周安贵</t>
  </si>
  <si>
    <t>F995657738089740</t>
  </si>
  <si>
    <t>任元禄</t>
  </si>
  <si>
    <t>包万秀,万俊森,任元禄</t>
  </si>
  <si>
    <t>F180532926176821</t>
  </si>
  <si>
    <t>团结村委会</t>
  </si>
  <si>
    <t>张宗汉</t>
  </si>
  <si>
    <t>F212577086184796</t>
  </si>
  <si>
    <t>王刚明</t>
  </si>
  <si>
    <t>邱永娥,王刚明</t>
  </si>
  <si>
    <t>F364350302593932</t>
  </si>
  <si>
    <t>张自生</t>
  </si>
  <si>
    <t>张庆希,邱云树,张自生</t>
  </si>
  <si>
    <t>F364354565683646</t>
  </si>
  <si>
    <t>夏统文</t>
  </si>
  <si>
    <t>F444007186985303</t>
  </si>
  <si>
    <t>张玉明</t>
  </si>
  <si>
    <t>F444014049006988</t>
  </si>
  <si>
    <t>潘俊</t>
  </si>
  <si>
    <t>潘俊,谢永芬</t>
  </si>
  <si>
    <t>F470460055928039</t>
  </si>
  <si>
    <t>王刚俊</t>
  </si>
  <si>
    <t>王刚俊,费功富</t>
  </si>
  <si>
    <t>F473420750598561</t>
  </si>
  <si>
    <t>夏学清</t>
  </si>
  <si>
    <t>贺俊容,夏学清</t>
  </si>
  <si>
    <t>F599357627564854</t>
  </si>
  <si>
    <t>胡淑容</t>
  </si>
  <si>
    <t>张小东,张海东,胡淑容</t>
  </si>
  <si>
    <t>F599365244641054</t>
  </si>
  <si>
    <t>夏先芬</t>
  </si>
  <si>
    <t>贺志刚,夏先芬,朱均太,贺莉玲,吕雪梅</t>
  </si>
  <si>
    <t>F680204610787505</t>
  </si>
  <si>
    <t>何太友</t>
  </si>
  <si>
    <t>F680220318766071</t>
  </si>
  <si>
    <t>张学英</t>
  </si>
  <si>
    <t>何太平,张学英,何晓情</t>
  </si>
  <si>
    <t>F766109015984638</t>
  </si>
  <si>
    <t>吴天珍</t>
  </si>
  <si>
    <t>吴天珍,朱均富,朱冬梅</t>
  </si>
  <si>
    <t>F835621752748737</t>
  </si>
  <si>
    <t>夏洪楷</t>
  </si>
  <si>
    <t>邓秀华,夏洪楷</t>
  </si>
  <si>
    <t>F835624215491719</t>
  </si>
  <si>
    <t>雷建国</t>
  </si>
  <si>
    <t>雷建国,张明秀,雷智鹏</t>
  </si>
  <si>
    <t>F835629135921246</t>
  </si>
  <si>
    <t>夏道贵</t>
  </si>
  <si>
    <t>夏道贵,夏茂明</t>
  </si>
  <si>
    <t>F855510579947859</t>
  </si>
  <si>
    <t>王统枝</t>
  </si>
  <si>
    <t>王统枝,邱荣强,邱桃煽,邱天红,邱桔梅</t>
  </si>
  <si>
    <t>F949982067776786</t>
  </si>
  <si>
    <t>邱荣明</t>
  </si>
  <si>
    <t>邱荣明,邱荣强</t>
  </si>
  <si>
    <t>F949982200433422</t>
  </si>
  <si>
    <t>罗大均</t>
  </si>
  <si>
    <t>F949984402464712</t>
  </si>
  <si>
    <t>熊金兰</t>
  </si>
  <si>
    <t>F949985996682725</t>
  </si>
  <si>
    <t>夏先荣</t>
  </si>
  <si>
    <t>张金秀,夏先荣,夏媛元</t>
  </si>
  <si>
    <t>F949986012308202</t>
  </si>
  <si>
    <t>鲁礼会</t>
  </si>
  <si>
    <t>F949986077152220</t>
  </si>
  <si>
    <t>张昌伟</t>
  </si>
  <si>
    <t>F950009613870330</t>
  </si>
  <si>
    <t>万长英</t>
  </si>
  <si>
    <t>F950009650901636</t>
  </si>
  <si>
    <t>董桂容</t>
  </si>
  <si>
    <t>邱云洪,邱熙,董桂容,邱超</t>
  </si>
  <si>
    <t>F950009779339326</t>
  </si>
  <si>
    <t>夏平贵</t>
  </si>
  <si>
    <t>葛启珍,夏平贵,夏先刚</t>
  </si>
  <si>
    <t>F950011379026547</t>
  </si>
  <si>
    <t>朱均贵</t>
  </si>
  <si>
    <t>朱均贵,罗仕群</t>
  </si>
  <si>
    <t>F950011442620380</t>
  </si>
  <si>
    <t>张自远</t>
  </si>
  <si>
    <t>F950012930745489</t>
  </si>
  <si>
    <t>罗桂珍</t>
  </si>
  <si>
    <t>朱成香,罗桂珍,张俊明,张莉梅,张燕平,张应城</t>
  </si>
  <si>
    <t>F950013274964822</t>
  </si>
  <si>
    <t>张宗树</t>
  </si>
  <si>
    <t>F950014601839434</t>
  </si>
  <si>
    <t>夏洪德</t>
  </si>
  <si>
    <t>F950015089027265</t>
  </si>
  <si>
    <t>夏维军</t>
  </si>
  <si>
    <t>F950015433089174</t>
  </si>
  <si>
    <t>邱兴兰</t>
  </si>
  <si>
    <t>F950016352620633</t>
  </si>
  <si>
    <t>张德中</t>
  </si>
  <si>
    <t>F950016578402256</t>
  </si>
  <si>
    <t>莫先田</t>
  </si>
  <si>
    <t>F950016581214821</t>
  </si>
  <si>
    <t>朱显均</t>
  </si>
  <si>
    <t>夏绍枝,朱显均</t>
  </si>
  <si>
    <t>F950018698089214</t>
  </si>
  <si>
    <t>朱均前</t>
  </si>
  <si>
    <t>夏道枝,朱成平,朱均前,朱成林</t>
  </si>
  <si>
    <t>F950020302620674</t>
  </si>
  <si>
    <t>曹凤连</t>
  </si>
  <si>
    <t>F950020532151894</t>
  </si>
  <si>
    <t>张自洪</t>
  </si>
  <si>
    <t>张自洪,刘容</t>
  </si>
  <si>
    <t>F950024379495787</t>
  </si>
  <si>
    <t>夏先清</t>
  </si>
  <si>
    <t>F950024481214300</t>
  </si>
  <si>
    <t>邱兴国</t>
  </si>
  <si>
    <t>F950024748714347</t>
  </si>
  <si>
    <t>邱贵德</t>
  </si>
  <si>
    <t>邱贵德,邱兴国,何香芝</t>
  </si>
  <si>
    <t>F950024958557886</t>
  </si>
  <si>
    <t>罗芝华</t>
  </si>
  <si>
    <t>罗芝华,夏杰</t>
  </si>
  <si>
    <t>F950025007151275</t>
  </si>
  <si>
    <t>赖永秀</t>
  </si>
  <si>
    <t>夏道静,赖永秀</t>
  </si>
  <si>
    <t>F950025144964305</t>
  </si>
  <si>
    <t>李中文</t>
  </si>
  <si>
    <t>何国凤,李中文</t>
  </si>
  <si>
    <t>F950025242152044</t>
  </si>
  <si>
    <t>夏绍文</t>
  </si>
  <si>
    <t>李希芝,夏绍文</t>
  </si>
  <si>
    <t>F950026053714736</t>
  </si>
  <si>
    <t>胡开成</t>
  </si>
  <si>
    <t>胡开成,胡友贵,邱兴枝</t>
  </si>
  <si>
    <t>F950026453245875</t>
  </si>
  <si>
    <t>夏秋香</t>
  </si>
  <si>
    <t>夏秋香,张克祥,阿者金枝,张正超</t>
  </si>
  <si>
    <t>F950026743089242</t>
  </si>
  <si>
    <t>邱兴林</t>
  </si>
  <si>
    <t>邱兴林,夏洪先,夏道均</t>
  </si>
  <si>
    <t>F950026975589378</t>
  </si>
  <si>
    <t>吕林友</t>
  </si>
  <si>
    <t>F950028650746125</t>
  </si>
  <si>
    <t>曹代莲</t>
  </si>
  <si>
    <t>F950029206839114</t>
  </si>
  <si>
    <t>夏先志</t>
  </si>
  <si>
    <t>夏先志,王桂香</t>
  </si>
  <si>
    <t>F950030164964262</t>
  </si>
  <si>
    <t>张启兵</t>
  </si>
  <si>
    <t>F950030346214158</t>
  </si>
  <si>
    <t>张福相</t>
  </si>
  <si>
    <t>F950030868089543</t>
  </si>
  <si>
    <t>张克明</t>
  </si>
  <si>
    <t>罗玉平,李浩英,罗玉凤,张克明</t>
  </si>
  <si>
    <t>F950031810589686</t>
  </si>
  <si>
    <t>邱瑞文</t>
  </si>
  <si>
    <t>邱瑞文,邱建钞</t>
  </si>
  <si>
    <t>F950032272620827</t>
  </si>
  <si>
    <t>张荣亮</t>
  </si>
  <si>
    <t>F950032400276848</t>
  </si>
  <si>
    <t>张自林</t>
  </si>
  <si>
    <t>张自林,周福莲</t>
  </si>
  <si>
    <t>F950032616682782</t>
  </si>
  <si>
    <t>李伟</t>
  </si>
  <si>
    <t>F950032838557979</t>
  </si>
  <si>
    <t>敖守芝</t>
  </si>
  <si>
    <t>F950032899808680</t>
  </si>
  <si>
    <t>朱均义</t>
  </si>
  <si>
    <t>吕佳林,吕思成,朱均义,朱均强,彭明英</t>
  </si>
  <si>
    <t>F950034302464625</t>
  </si>
  <si>
    <t>何定学</t>
  </si>
  <si>
    <t>F950034443558570</t>
  </si>
  <si>
    <t>张宗伦</t>
  </si>
  <si>
    <t>F950035832933778</t>
  </si>
  <si>
    <t>邱远贵</t>
  </si>
  <si>
    <t>邱远贵,邱家奇,邱兴树</t>
  </si>
  <si>
    <t>F950035854495429</t>
  </si>
  <si>
    <t>张自德</t>
  </si>
  <si>
    <t>F950036162308271</t>
  </si>
  <si>
    <t>莫先贵</t>
  </si>
  <si>
    <t>F950036200433279</t>
  </si>
  <si>
    <t>许春平</t>
  </si>
  <si>
    <t>许梦轩,许春平</t>
  </si>
  <si>
    <t>F950036265276885</t>
  </si>
  <si>
    <t>何太林</t>
  </si>
  <si>
    <t>何太林,何府强,何太彬,何国均</t>
  </si>
  <si>
    <t>F950036441683012</t>
  </si>
  <si>
    <t>刘淑玉</t>
  </si>
  <si>
    <t>刘淑玉,夏统洪,夏红梅</t>
  </si>
  <si>
    <t>F950036631057819</t>
  </si>
  <si>
    <t>张启中</t>
  </si>
  <si>
    <t>F950036746526876</t>
  </si>
  <si>
    <t>廖福琼</t>
  </si>
  <si>
    <t>廖福琼,朱梁萍,朱春梅</t>
  </si>
  <si>
    <t>F950037016526985</t>
  </si>
  <si>
    <t>吴永香</t>
  </si>
  <si>
    <t>吴永香,夏琦顺,夏鈺涵</t>
  </si>
  <si>
    <t>F950037078246062</t>
  </si>
  <si>
    <t>杨世林</t>
  </si>
  <si>
    <t>杨世林,邱兴秀,杨文友</t>
  </si>
  <si>
    <t>F950037106527027</t>
  </si>
  <si>
    <t>张启荣</t>
  </si>
  <si>
    <t>F950037123870983</t>
  </si>
  <si>
    <t>张启贵</t>
  </si>
  <si>
    <t>张启贵,张登富,潘学枝</t>
  </si>
  <si>
    <t>F950037185277142</t>
  </si>
  <si>
    <t>胡长英</t>
  </si>
  <si>
    <t>F950037731371000</t>
  </si>
  <si>
    <t>邱荣香</t>
  </si>
  <si>
    <t>F950038085276658</t>
  </si>
  <si>
    <t>何秀华</t>
  </si>
  <si>
    <t>F950038349182788</t>
  </si>
  <si>
    <t>何涛</t>
  </si>
  <si>
    <t>F950038640432885</t>
  </si>
  <si>
    <t>夏光寿</t>
  </si>
  <si>
    <t>F950038702776856</t>
  </si>
  <si>
    <t>张先贵</t>
  </si>
  <si>
    <t>F950038881683238</t>
  </si>
  <si>
    <t>杨文章</t>
  </si>
  <si>
    <t>杨安力,邱秀枝,杨文章</t>
  </si>
  <si>
    <t>F950038919808253</t>
  </si>
  <si>
    <t>周云辉</t>
  </si>
  <si>
    <t>F950039072933207</t>
  </si>
  <si>
    <t>夏先恒</t>
  </si>
  <si>
    <t>F950039177308204</t>
  </si>
  <si>
    <t>夏先富</t>
  </si>
  <si>
    <t>夏先富,夏琼,陈桂枝,吴春艳,夏琴</t>
  </si>
  <si>
    <t>F950040078870567</t>
  </si>
  <si>
    <t>何定仲</t>
  </si>
  <si>
    <t>F950040114027097</t>
  </si>
  <si>
    <t>邱兴枝</t>
  </si>
  <si>
    <t>夏统贵,邱兴枝</t>
  </si>
  <si>
    <t>F950040213245756</t>
  </si>
  <si>
    <t>王淑琼</t>
  </si>
  <si>
    <t>F950040433245680</t>
  </si>
  <si>
    <t>林廷桂</t>
  </si>
  <si>
    <t>F950040462307913</t>
  </si>
  <si>
    <t>古有枝</t>
  </si>
  <si>
    <t>古有枝,夏道均</t>
  </si>
  <si>
    <t>F950040472620661</t>
  </si>
  <si>
    <t>夏园森</t>
  </si>
  <si>
    <t>F950040499495523</t>
  </si>
  <si>
    <t>杨秀枝</t>
  </si>
  <si>
    <t>夏生田,杨秀枝,夏统国,夏雨路,魏迎春,夏燕</t>
  </si>
  <si>
    <t>F950040556057871</t>
  </si>
  <si>
    <t>朱均顺</t>
  </si>
  <si>
    <t>吕兆鸿,吕兆华,朱均顺,汪应春</t>
  </si>
  <si>
    <t>F950040928714293</t>
  </si>
  <si>
    <t>邱荣珍</t>
  </si>
  <si>
    <t>F950041042308088</t>
  </si>
  <si>
    <t>邱兴太</t>
  </si>
  <si>
    <t>F950041224495210</t>
  </si>
  <si>
    <t>黎明贵</t>
  </si>
  <si>
    <t>F950041920433367</t>
  </si>
  <si>
    <t>邱兴双</t>
  </si>
  <si>
    <t>邱兴双,邱兵</t>
  </si>
  <si>
    <t>F950042054808027</t>
  </si>
  <si>
    <t>何英</t>
  </si>
  <si>
    <t>F950042150745872</t>
  </si>
  <si>
    <t>夏绍玉</t>
  </si>
  <si>
    <t>夏绍玉,夏仲明</t>
  </si>
  <si>
    <t>F950042219808234</t>
  </si>
  <si>
    <t>邱治修</t>
  </si>
  <si>
    <t>F950042345902033</t>
  </si>
  <si>
    <t>夏伟铭</t>
  </si>
  <si>
    <t>夏玉涵,夏伟铭</t>
  </si>
  <si>
    <t>F950042422776795</t>
  </si>
  <si>
    <t>邱兴仲</t>
  </si>
  <si>
    <t>F950042484183243</t>
  </si>
  <si>
    <t>夏先文</t>
  </si>
  <si>
    <t>夏学强,夏先文</t>
  </si>
  <si>
    <t>F950042838714289</t>
  </si>
  <si>
    <t>邱治平</t>
  </si>
  <si>
    <t>F950043260745828</t>
  </si>
  <si>
    <t>张桂枝</t>
  </si>
  <si>
    <t>张桂枝,夏定成</t>
  </si>
  <si>
    <t>F950043283714515</t>
  </si>
  <si>
    <t>熊金枝</t>
  </si>
  <si>
    <t>F950043946526823</t>
  </si>
  <si>
    <t>邱兴秀</t>
  </si>
  <si>
    <t>F950044280277500</t>
  </si>
  <si>
    <t>高林青</t>
  </si>
  <si>
    <t>高林青,张复芳,高敏</t>
  </si>
  <si>
    <t>F971756319256227</t>
  </si>
  <si>
    <t>夏生珍</t>
  </si>
  <si>
    <t>费泽贵,夏生珍</t>
  </si>
  <si>
    <t>F026943363572758</t>
  </si>
  <si>
    <t>洋溪村委会</t>
  </si>
  <si>
    <t>胡孝均</t>
  </si>
  <si>
    <t>F595411435212880</t>
  </si>
  <si>
    <t>夏道富</t>
  </si>
  <si>
    <t>夏道富,夏平</t>
  </si>
  <si>
    <t>F595421182829708</t>
  </si>
  <si>
    <t>彭本均</t>
  </si>
  <si>
    <t>彭本均,费泽连,彭成英</t>
  </si>
  <si>
    <t>F595429896482180</t>
  </si>
  <si>
    <t>瞿加发</t>
  </si>
  <si>
    <t>邱芬,瞿向容,瞿加发,瞿雪林</t>
  </si>
  <si>
    <t>F619477767201817</t>
  </si>
  <si>
    <t>刘金兰</t>
  </si>
  <si>
    <t>胡雅蒙,刘金兰,胡孝华</t>
  </si>
  <si>
    <t>F672016728158027</t>
  </si>
  <si>
    <t>张革英</t>
  </si>
  <si>
    <t>张闵杰,熊兴玉,张革英</t>
  </si>
  <si>
    <t>F728269957794366</t>
  </si>
  <si>
    <t>邓修明</t>
  </si>
  <si>
    <t>代世珍,邓修明,邓杨科</t>
  </si>
  <si>
    <t>F745298080923972</t>
  </si>
  <si>
    <t>姜代珍</t>
  </si>
  <si>
    <t>F811252748319860</t>
  </si>
  <si>
    <t>李明银</t>
  </si>
  <si>
    <t>F854324643482605</t>
  </si>
  <si>
    <t>尹华芝</t>
  </si>
  <si>
    <t>邱旭梅,尹华芝</t>
  </si>
  <si>
    <t>F913319637865913</t>
  </si>
  <si>
    <t>邓兴艳</t>
  </si>
  <si>
    <t>F913324451100995</t>
  </si>
  <si>
    <t>辜良安</t>
  </si>
  <si>
    <t>辜良安,夏道连,辜英雄,辜青秀</t>
  </si>
  <si>
    <t>F949982154651854</t>
  </si>
  <si>
    <t>张国芝</t>
  </si>
  <si>
    <t>F949982207777016</t>
  </si>
  <si>
    <t>黄仁仲</t>
  </si>
  <si>
    <t>F949990184964236</t>
  </si>
  <si>
    <t>葛冬梅</t>
  </si>
  <si>
    <t>赖明宇,葛冬梅</t>
  </si>
  <si>
    <t>F949990287933219</t>
  </si>
  <si>
    <t>潘光祥</t>
  </si>
  <si>
    <t>F950011341995622</t>
  </si>
  <si>
    <t>魏凤明</t>
  </si>
  <si>
    <t>F950011669651852</t>
  </si>
  <si>
    <t>黄福琼</t>
  </si>
  <si>
    <t>黄福琼,颜旭容,颜加贵,吕颜涛</t>
  </si>
  <si>
    <t>F950012943401742</t>
  </si>
  <si>
    <t>庞世超</t>
  </si>
  <si>
    <t>庞世超,夏先凤</t>
  </si>
  <si>
    <t>F950013205433207</t>
  </si>
  <si>
    <t>王淑林</t>
  </si>
  <si>
    <t>F950013426995707</t>
  </si>
  <si>
    <t>赖永良</t>
  </si>
  <si>
    <t>F950014613870904</t>
  </si>
  <si>
    <t>赵先炳</t>
  </si>
  <si>
    <t>F950015236370412</t>
  </si>
  <si>
    <t>赵清顺</t>
  </si>
  <si>
    <t>F950015356839244</t>
  </si>
  <si>
    <t>杨金秀</t>
  </si>
  <si>
    <t>F950015594026512</t>
  </si>
  <si>
    <t>李欣遥</t>
  </si>
  <si>
    <t>F950015741058321</t>
  </si>
  <si>
    <t>周云华</t>
  </si>
  <si>
    <t>周云华,周晓琴,周波</t>
  </si>
  <si>
    <t>F950018320589484</t>
  </si>
  <si>
    <t>候泽群</t>
  </si>
  <si>
    <t>F950018442932861</t>
  </si>
  <si>
    <t>李国文</t>
  </si>
  <si>
    <t>李国文,李云飞</t>
  </si>
  <si>
    <t>F950020387151826</t>
  </si>
  <si>
    <t>邓昌秀</t>
  </si>
  <si>
    <t>F950020509808358</t>
  </si>
  <si>
    <t>邱远林</t>
  </si>
  <si>
    <t>F950020648558191</t>
  </si>
  <si>
    <t>黄连银</t>
  </si>
  <si>
    <t>F950022532464701</t>
  </si>
  <si>
    <t>F950022591839160</t>
  </si>
  <si>
    <t>李茂祥</t>
  </si>
  <si>
    <t>F950024173401945</t>
  </si>
  <si>
    <t>周立树</t>
  </si>
  <si>
    <t>F950024268245729</t>
  </si>
  <si>
    <t>王基明</t>
  </si>
  <si>
    <t>喜春芝,王基明</t>
  </si>
  <si>
    <t>F950024317151508</t>
  </si>
  <si>
    <t>夏溱</t>
  </si>
  <si>
    <t>F950024636058198</t>
  </si>
  <si>
    <t>胡孝伦</t>
  </si>
  <si>
    <t>胡飞龙,胡孝伦,夏开清,胡红</t>
  </si>
  <si>
    <t>F950024779183322</t>
  </si>
  <si>
    <t>杨光珍</t>
  </si>
  <si>
    <t>F950024820746422</t>
  </si>
  <si>
    <t>邱云明</t>
  </si>
  <si>
    <t>邱云明,邱秀容</t>
  </si>
  <si>
    <t>F950024867932987</t>
  </si>
  <si>
    <t>余正海</t>
  </si>
  <si>
    <t>余正海,卢忠秀</t>
  </si>
  <si>
    <t>F950025277464891</t>
  </si>
  <si>
    <t>周云方</t>
  </si>
  <si>
    <t>周云方,周好林</t>
  </si>
  <si>
    <t>F950025998245257</t>
  </si>
  <si>
    <t>李根枝</t>
  </si>
  <si>
    <t>F950026784808389</t>
  </si>
  <si>
    <t>杨高菊</t>
  </si>
  <si>
    <t>曹光娥,张世云,杨高菊</t>
  </si>
  <si>
    <t>F950026945432907</t>
  </si>
  <si>
    <t>罗志方</t>
  </si>
  <si>
    <t>F950027221683372</t>
  </si>
  <si>
    <t>邓修富</t>
  </si>
  <si>
    <t>郑安玉,邓修富</t>
  </si>
  <si>
    <t>F950028106995308</t>
  </si>
  <si>
    <t>邹常元</t>
  </si>
  <si>
    <t>邹常元,夏秀芳,邹佳俊</t>
  </si>
  <si>
    <t>F950028589964307</t>
  </si>
  <si>
    <t>韦廷银</t>
  </si>
  <si>
    <t>韦廷银,何国华,代龙先,代世友</t>
  </si>
  <si>
    <t>F950028911214674</t>
  </si>
  <si>
    <t>张友明</t>
  </si>
  <si>
    <t>F950029062464966</t>
  </si>
  <si>
    <t>刘培琼</t>
  </si>
  <si>
    <t>F950030034027116</t>
  </si>
  <si>
    <t>王旭</t>
  </si>
  <si>
    <t>F950030751527567</t>
  </si>
  <si>
    <t>骆金枝</t>
  </si>
  <si>
    <t>骆金枝,邹虹梅</t>
  </si>
  <si>
    <t>F950030811370897</t>
  </si>
  <si>
    <t>吴建新</t>
  </si>
  <si>
    <t>F950030999183513</t>
  </si>
  <si>
    <t>徐景珍,何太林,何原港</t>
  </si>
  <si>
    <t>F950031786995782</t>
  </si>
  <si>
    <t>李茂富</t>
  </si>
  <si>
    <t>F950032287464137</t>
  </si>
  <si>
    <t>李明珍</t>
  </si>
  <si>
    <t>F950032514183163</t>
  </si>
  <si>
    <t>夏桂连</t>
  </si>
  <si>
    <t>F950032563245464</t>
  </si>
  <si>
    <t>邓昌贵</t>
  </si>
  <si>
    <t>F950033148089099</t>
  </si>
  <si>
    <t>潘光田</t>
  </si>
  <si>
    <t>F950034076682839</t>
  </si>
  <si>
    <t>张燕</t>
  </si>
  <si>
    <t>张燕,辜良英,夏诗雨,张世林,张秋霞</t>
  </si>
  <si>
    <t>F950034358245740</t>
  </si>
  <si>
    <t>费朝兰</t>
  </si>
  <si>
    <t>F950034672464535</t>
  </si>
  <si>
    <t>余国琴</t>
  </si>
  <si>
    <t>余国琴,李胜宣</t>
  </si>
  <si>
    <t>F950035075277162</t>
  </si>
  <si>
    <t>夏堂</t>
  </si>
  <si>
    <t>夏华,夏堂</t>
  </si>
  <si>
    <t>F950035126370840</t>
  </si>
  <si>
    <t>胡立洪</t>
  </si>
  <si>
    <t>F950036396370305</t>
  </si>
  <si>
    <t>邓吉楷</t>
  </si>
  <si>
    <t>F950036691058151</t>
  </si>
  <si>
    <t>王成香</t>
  </si>
  <si>
    <t>F950036711214608</t>
  </si>
  <si>
    <t>邓昌元</t>
  </si>
  <si>
    <t>F950036796370723</t>
  </si>
  <si>
    <t>李国兵</t>
  </si>
  <si>
    <t>李平,李国兵</t>
  </si>
  <si>
    <t>F950036816683196</t>
  </si>
  <si>
    <t>夏文君</t>
  </si>
  <si>
    <t>F950036956371390</t>
  </si>
  <si>
    <t>王林容</t>
  </si>
  <si>
    <t>吴青霞,王林容,吴成乐,吴涛</t>
  </si>
  <si>
    <t>F950037868714679</t>
  </si>
  <si>
    <t>李国伦</t>
  </si>
  <si>
    <t>F950038767777181</t>
  </si>
  <si>
    <t>何安银</t>
  </si>
  <si>
    <t>何国芬,陈文安,陈武全,费功连,何安银,陈英</t>
  </si>
  <si>
    <t>F950038798558243</t>
  </si>
  <si>
    <t>赖永林</t>
  </si>
  <si>
    <t>F950038878870591</t>
  </si>
  <si>
    <t>周贤礼</t>
  </si>
  <si>
    <t>周贤礼,宋志风</t>
  </si>
  <si>
    <t>F950039828714467</t>
  </si>
  <si>
    <t>李长江</t>
  </si>
  <si>
    <t>何翠芝,李长江,李茂强</t>
  </si>
  <si>
    <t>F950040716995801</t>
  </si>
  <si>
    <t>范国琼</t>
  </si>
  <si>
    <t>吕德超,吕青蔓,吕鑫,范国琼</t>
  </si>
  <si>
    <t>F950040986214314</t>
  </si>
  <si>
    <t>曹光凤</t>
  </si>
  <si>
    <t>F950041192621166</t>
  </si>
  <si>
    <t>王桂容</t>
  </si>
  <si>
    <t>张发荣,王桂容,张城,张梅</t>
  </si>
  <si>
    <t>F950041257777345</t>
  </si>
  <si>
    <t>何安秀</t>
  </si>
  <si>
    <t>何安秀,黄福容,曹光云</t>
  </si>
  <si>
    <t>F950042144182847</t>
  </si>
  <si>
    <t>陈明芝</t>
  </si>
  <si>
    <t>F950042304652265</t>
  </si>
  <si>
    <t>李银芝</t>
  </si>
  <si>
    <t>潘双武,蔡琼英,潘光同,李银芝,潘双文</t>
  </si>
  <si>
    <t>F950042326214816</t>
  </si>
  <si>
    <t>熊晓波</t>
  </si>
  <si>
    <t>熊晓波,熊若汛,杨德琴,张天华</t>
  </si>
  <si>
    <t>F950042611058103</t>
  </si>
  <si>
    <t>贺宗文</t>
  </si>
  <si>
    <t>F950043157308670</t>
  </si>
  <si>
    <t>刘成香</t>
  </si>
  <si>
    <t>李全林,李果,刘成香,李欣蕊</t>
  </si>
  <si>
    <t>F950043286370741</t>
  </si>
  <si>
    <t>杨云波</t>
  </si>
  <si>
    <t>张国庆,张元林,杨云波</t>
  </si>
  <si>
    <t>F950044143557869</t>
  </si>
  <si>
    <t>何国志</t>
  </si>
  <si>
    <t>何原凯,何国志,何太洪,万学英</t>
  </si>
  <si>
    <t>F950044422620538</t>
  </si>
  <si>
    <t>李茂金</t>
  </si>
  <si>
    <t>税成香,李茂金</t>
  </si>
  <si>
    <t>F950044494808187</t>
  </si>
  <si>
    <t>张立洪</t>
  </si>
  <si>
    <t>张立洪,张艺欣</t>
  </si>
  <si>
    <t>F950044571839558</t>
  </si>
  <si>
    <t>任长秀</t>
  </si>
  <si>
    <t>F971708961704684</t>
  </si>
  <si>
    <t>张立文</t>
  </si>
  <si>
    <t>张佳明,张立文,车国书</t>
  </si>
  <si>
    <t>F998542900928604</t>
  </si>
  <si>
    <t>冯华明</t>
  </si>
  <si>
    <t>冯旭,冯华明,朱秀兰</t>
  </si>
  <si>
    <t>F178962145511751</t>
  </si>
  <si>
    <t>黄丹镇</t>
  </si>
  <si>
    <t>罗岩村委会</t>
  </si>
  <si>
    <t>庄全兴</t>
  </si>
  <si>
    <t>庄全兴,潘福兰,庄勇,庄俐姣</t>
  </si>
  <si>
    <t>F475186738811631</t>
  </si>
  <si>
    <t>黎真华</t>
  </si>
  <si>
    <t>何顺玲,黎真华</t>
  </si>
  <si>
    <t>F520684016835584</t>
  </si>
  <si>
    <t>严强</t>
  </si>
  <si>
    <t>严强,严伟</t>
  </si>
  <si>
    <t>F838731617799382</t>
  </si>
  <si>
    <t>蒋长坤</t>
  </si>
  <si>
    <t>蒋长坤,蒋雅宣</t>
  </si>
  <si>
    <t>F906426206099795</t>
  </si>
  <si>
    <t>安清洪</t>
  </si>
  <si>
    <t>潘妤晨,屈秀珍,安丽霞,安清洪,潘绍祥</t>
  </si>
  <si>
    <t>F950013190433036</t>
  </si>
  <si>
    <t>叶文友</t>
  </si>
  <si>
    <t>F950016405120579</t>
  </si>
  <si>
    <t>刘顺贵</t>
  </si>
  <si>
    <t>F950018692934424</t>
  </si>
  <si>
    <t>刘德明</t>
  </si>
  <si>
    <t>F950020313870843</t>
  </si>
  <si>
    <t>张秀洪</t>
  </si>
  <si>
    <t>张秀洪,郑秀连</t>
  </si>
  <si>
    <t>F950022528870272</t>
  </si>
  <si>
    <t>严光兴</t>
  </si>
  <si>
    <t>F950024591370649</t>
  </si>
  <si>
    <t>徐桂芝</t>
  </si>
  <si>
    <t>徐桂芝,黄德金</t>
  </si>
  <si>
    <t>F950024874495298</t>
  </si>
  <si>
    <t>谭光银</t>
  </si>
  <si>
    <t>F950026065277773</t>
  </si>
  <si>
    <t>张吉田</t>
  </si>
  <si>
    <t>F950026170745812</t>
  </si>
  <si>
    <t>廖长珍</t>
  </si>
  <si>
    <t>F950026544339389</t>
  </si>
  <si>
    <t>杜秀英</t>
  </si>
  <si>
    <t>安丹,杜秀英</t>
  </si>
  <si>
    <t>F950028044495497</t>
  </si>
  <si>
    <t>肖昌全</t>
  </si>
  <si>
    <t>肖昌全,肖华容,王麒,王应军</t>
  </si>
  <si>
    <t>F950028388089507</t>
  </si>
  <si>
    <t>潘根秀</t>
  </si>
  <si>
    <t>潘根秀,严天文,严学丽,严天荣</t>
  </si>
  <si>
    <t>F950030024808398</t>
  </si>
  <si>
    <t>安清国</t>
  </si>
  <si>
    <t>F950030567933064</t>
  </si>
  <si>
    <t>蒋长银</t>
  </si>
  <si>
    <t>F950030902151671</t>
  </si>
  <si>
    <t>陈作珍</t>
  </si>
  <si>
    <t>F950032269339343</t>
  </si>
  <si>
    <t>夏先顺</t>
  </si>
  <si>
    <t>朱秀纪,朱梓文,夏先顺,朱小蓉,张明蓉</t>
  </si>
  <si>
    <t>F950032656214309</t>
  </si>
  <si>
    <t>胡思明</t>
  </si>
  <si>
    <t>胡思明,胡建,易银秀,胡桐华,胡林义,郑渝霖</t>
  </si>
  <si>
    <t>F950033186839597</t>
  </si>
  <si>
    <t>谭光荣</t>
  </si>
  <si>
    <t>F950034005433261</t>
  </si>
  <si>
    <t>安清秀</t>
  </si>
  <si>
    <t>F950036105120764</t>
  </si>
  <si>
    <t>万科平</t>
  </si>
  <si>
    <t>万伟,王玉莲,万科平</t>
  </si>
  <si>
    <t>F950036476526876</t>
  </si>
  <si>
    <t>黎先福</t>
  </si>
  <si>
    <t>赵启秀,黎华春,黎先福</t>
  </si>
  <si>
    <t>F950036798870548</t>
  </si>
  <si>
    <t>刘学瑶</t>
  </si>
  <si>
    <t>胡兰心,夏道凤,刘学瑶</t>
  </si>
  <si>
    <t>F950036902152443</t>
  </si>
  <si>
    <t>祝清伦</t>
  </si>
  <si>
    <t>F950038665589585</t>
  </si>
  <si>
    <t>严光才</t>
  </si>
  <si>
    <t>彭英,严光才</t>
  </si>
  <si>
    <t>F950040355745337</t>
  </si>
  <si>
    <t>赵忠秀</t>
  </si>
  <si>
    <t>蔡友银,赵忠秀</t>
  </si>
  <si>
    <t>F950040411058635</t>
  </si>
  <si>
    <t>温良贵</t>
  </si>
  <si>
    <t>F950041887151845</t>
  </si>
  <si>
    <t>徐友枝</t>
  </si>
  <si>
    <t>F950042939651605</t>
  </si>
  <si>
    <t>徐元贵</t>
  </si>
  <si>
    <t>F215176430715864</t>
  </si>
  <si>
    <t>和平村委会</t>
  </si>
  <si>
    <t>周长群</t>
  </si>
  <si>
    <t>F256539852722538</t>
  </si>
  <si>
    <t>万科胜</t>
  </si>
  <si>
    <t>龚朝容,万科胜,胡贵枝</t>
  </si>
  <si>
    <t>F300263710438027</t>
  </si>
  <si>
    <t>赵启亮</t>
  </si>
  <si>
    <t>F629641427679559</t>
  </si>
  <si>
    <t>陈林贵</t>
  </si>
  <si>
    <t>陈鑫蕊,陈林贵,陈燕</t>
  </si>
  <si>
    <t>F653094765515735</t>
  </si>
  <si>
    <t>赵宗明</t>
  </si>
  <si>
    <t>F950014329183342</t>
  </si>
  <si>
    <t>潘才熊</t>
  </si>
  <si>
    <t>F950014956370674</t>
  </si>
  <si>
    <t>杨尚全</t>
  </si>
  <si>
    <t>F950026532464769</t>
  </si>
  <si>
    <t>毕宗贵</t>
  </si>
  <si>
    <t>毕宗贵,毕健强,易秀群</t>
  </si>
  <si>
    <t>F950033030745748</t>
  </si>
  <si>
    <t>李川梅</t>
  </si>
  <si>
    <t>李川梅,郭珍玉</t>
  </si>
  <si>
    <t>F950034689964313</t>
  </si>
  <si>
    <t>刘秀文</t>
  </si>
  <si>
    <t>F950034852308628</t>
  </si>
  <si>
    <t>冷安友</t>
  </si>
  <si>
    <t>冷环冬,冷环秋,冷雨軒,冷安友</t>
  </si>
  <si>
    <t>F950035042464481</t>
  </si>
  <si>
    <t>廖学刚</t>
  </si>
  <si>
    <t>廖诗云,朱明英,廖学刚</t>
  </si>
  <si>
    <t>F950035946526989</t>
  </si>
  <si>
    <t>朱学珍</t>
  </si>
  <si>
    <t>刘雪,朱学珍,刘森,刘孔能</t>
  </si>
  <si>
    <t>F950037086057909</t>
  </si>
  <si>
    <t>赵文菁</t>
  </si>
  <si>
    <t>F950040041057927</t>
  </si>
  <si>
    <t>毛秀珍</t>
  </si>
  <si>
    <t>F950042985277254</t>
  </si>
  <si>
    <t>何国强</t>
  </si>
  <si>
    <t>何国强,柯明枝,何皓然</t>
  </si>
  <si>
    <t>F997700733054966</t>
  </si>
  <si>
    <t>何国金</t>
  </si>
  <si>
    <t>F019481477596920</t>
  </si>
  <si>
    <t>严湾村委会</t>
  </si>
  <si>
    <t>夏佰金</t>
  </si>
  <si>
    <t>夏佰金,宋建琼,夏春燕</t>
  </si>
  <si>
    <t>F019483931709970</t>
  </si>
  <si>
    <t>贺德富</t>
  </si>
  <si>
    <t>罗柳萍,贺德富,贺家乐,贺安云,贺家伟</t>
  </si>
  <si>
    <t>F183906524181611</t>
  </si>
  <si>
    <t>陈方英</t>
  </si>
  <si>
    <t>陈方英,王从富</t>
  </si>
  <si>
    <t>F339322284506941</t>
  </si>
  <si>
    <t>贺耀海</t>
  </si>
  <si>
    <t>F422931660481532</t>
  </si>
  <si>
    <t>张会宇</t>
  </si>
  <si>
    <t>F629648698929541</t>
  </si>
  <si>
    <t>傅廷元</t>
  </si>
  <si>
    <t>傅廷元,柯昌惠,傅强文</t>
  </si>
  <si>
    <t>F629680991585823</t>
  </si>
  <si>
    <t>张会庭</t>
  </si>
  <si>
    <t>张会庭,费秀兰</t>
  </si>
  <si>
    <t>F703426999031998</t>
  </si>
  <si>
    <t>牟灼</t>
  </si>
  <si>
    <t>牟灼,牟尤霞</t>
  </si>
  <si>
    <t>F741059461728486</t>
  </si>
  <si>
    <t>廖长荣</t>
  </si>
  <si>
    <t>F814518678286578</t>
  </si>
  <si>
    <t>赵朝军</t>
  </si>
  <si>
    <t>F838723576549418</t>
  </si>
  <si>
    <t>廖文睿</t>
  </si>
  <si>
    <t>F947397510526286</t>
  </si>
  <si>
    <t>牟登举</t>
  </si>
  <si>
    <t>牟登举,汤树英,牟富位,牟秋安</t>
  </si>
  <si>
    <t>F949984369495614</t>
  </si>
  <si>
    <t>王波</t>
  </si>
  <si>
    <t>F950018645745704</t>
  </si>
  <si>
    <t>赵青燕</t>
  </si>
  <si>
    <t>赵青燕,王赵顺,王忠,王赵轩</t>
  </si>
  <si>
    <t>F950024114651840</t>
  </si>
  <si>
    <t>王启文</t>
  </si>
  <si>
    <t>刘基容,王启文</t>
  </si>
  <si>
    <t>F950025169807881</t>
  </si>
  <si>
    <t>朱明忠</t>
  </si>
  <si>
    <t>F950025859964184</t>
  </si>
  <si>
    <t>朱加太</t>
  </si>
  <si>
    <t>朱加太,谢礼秀,朱国友</t>
  </si>
  <si>
    <t>F950026239808359</t>
  </si>
  <si>
    <t>严天银</t>
  </si>
  <si>
    <t>F950026810745561</t>
  </si>
  <si>
    <t>严荣波</t>
  </si>
  <si>
    <t>F950027816370964</t>
  </si>
  <si>
    <t>严天强</t>
  </si>
  <si>
    <t>严天强,蒋才秀</t>
  </si>
  <si>
    <t>F950028233870528</t>
  </si>
  <si>
    <t>冷山雄</t>
  </si>
  <si>
    <t>冷山雄,王安凤,冷宇轩</t>
  </si>
  <si>
    <t>F950028306058080</t>
  </si>
  <si>
    <t>谢启伦</t>
  </si>
  <si>
    <t>谢再华,谢雨婷,谢启伦,马平芬,朱国秀</t>
  </si>
  <si>
    <t>F950030270902218</t>
  </si>
  <si>
    <t>黎术群</t>
  </si>
  <si>
    <t>朱明发,黎术群</t>
  </si>
  <si>
    <t>F950030314183012</t>
  </si>
  <si>
    <t>贺建富</t>
  </si>
  <si>
    <t>杨春枝,贺建富,贺秋红</t>
  </si>
  <si>
    <t>F950032668870568</t>
  </si>
  <si>
    <t>杨成义</t>
  </si>
  <si>
    <t>杨成义,王德秀</t>
  </si>
  <si>
    <t>F950035215276922</t>
  </si>
  <si>
    <t>王艳红</t>
  </si>
  <si>
    <t>F950037091839641</t>
  </si>
  <si>
    <t>王建琼</t>
  </si>
  <si>
    <t>王建琼,牟海晨,牟军位,牟娟</t>
  </si>
  <si>
    <t>F950038095902432</t>
  </si>
  <si>
    <t>何国琼</t>
  </si>
  <si>
    <t>李大明,何国琼</t>
  </si>
  <si>
    <t>F950042438557907</t>
  </si>
  <si>
    <t>严凤琼</t>
  </si>
  <si>
    <t>严凤琼,黎红利</t>
  </si>
  <si>
    <t>F950043024495328</t>
  </si>
  <si>
    <t>汤明芳</t>
  </si>
  <si>
    <t>汤明芳,杨良秋,杨良强,杨钦文</t>
  </si>
  <si>
    <t>F950043176839270</t>
  </si>
  <si>
    <t>王贵田</t>
  </si>
  <si>
    <t>王贵田,徐桂芝</t>
  </si>
  <si>
    <t>F950044661214279</t>
  </si>
  <si>
    <t>许世阳</t>
  </si>
  <si>
    <t>许世阳,杜明英</t>
  </si>
  <si>
    <t>F019486654591642</t>
  </si>
  <si>
    <t>大碑村委会</t>
  </si>
  <si>
    <t>何太桂</t>
  </si>
  <si>
    <t>何孟娟,何太桂,何玉琴</t>
  </si>
  <si>
    <t>F019489543695229</t>
  </si>
  <si>
    <t>罗梦瑶</t>
  </si>
  <si>
    <t>F026893255899190</t>
  </si>
  <si>
    <t>王群红</t>
  </si>
  <si>
    <t>王群红,杨思玥</t>
  </si>
  <si>
    <t>F183914087150081</t>
  </si>
  <si>
    <t>杨昌义</t>
  </si>
  <si>
    <t>杨昌义,杨思琴,杨顺吉</t>
  </si>
  <si>
    <t>F215170524778568</t>
  </si>
  <si>
    <t>罗建</t>
  </si>
  <si>
    <t>范春秀,罗建</t>
  </si>
  <si>
    <t>F237679656636245</t>
  </si>
  <si>
    <t>王均国</t>
  </si>
  <si>
    <t>张德勤,王均国,王艳芳</t>
  </si>
  <si>
    <t>F237682410541405</t>
  </si>
  <si>
    <t>陈晓全</t>
  </si>
  <si>
    <t>陈晓全,陈浩然,吴永珍</t>
  </si>
  <si>
    <t>F347222085562122</t>
  </si>
  <si>
    <t>王复凯</t>
  </si>
  <si>
    <t>王复凯,王瑞</t>
  </si>
  <si>
    <t>F347223480719030</t>
  </si>
  <si>
    <t>曾德全</t>
  </si>
  <si>
    <t>毕建华,曾淇洋,曾德全</t>
  </si>
  <si>
    <t>F731983889355801</t>
  </si>
  <si>
    <t>陈晓清</t>
  </si>
  <si>
    <t>陈以欣,陈怡杏,陈晓清</t>
  </si>
  <si>
    <t>F864433316050670</t>
  </si>
  <si>
    <t>马国荣</t>
  </si>
  <si>
    <t>F947354689274379</t>
  </si>
  <si>
    <t>罗自其</t>
  </si>
  <si>
    <t>罗婷婷,罗自其,罗杨林</t>
  </si>
  <si>
    <t>F949982283714439</t>
  </si>
  <si>
    <t>范友田</t>
  </si>
  <si>
    <t>袁桂香,范进才,朱秀友,范世青,范友田</t>
  </si>
  <si>
    <t>F949984372620971</t>
  </si>
  <si>
    <t>范伟</t>
  </si>
  <si>
    <t>范伟,王芋洁,王河淋,王祖亮,王复洪</t>
  </si>
  <si>
    <t>F949986066526974</t>
  </si>
  <si>
    <t>刘国友</t>
  </si>
  <si>
    <t>F950011424027331</t>
  </si>
  <si>
    <t>邱远奎</t>
  </si>
  <si>
    <t>范敬连,邱远奎,邱兴华</t>
  </si>
  <si>
    <t>F950011589339313</t>
  </si>
  <si>
    <t>何国枝</t>
  </si>
  <si>
    <t>F950013277307999</t>
  </si>
  <si>
    <t>王复林</t>
  </si>
  <si>
    <t>F950013559026746</t>
  </si>
  <si>
    <t>范中友</t>
  </si>
  <si>
    <t>F950015191682931</t>
  </si>
  <si>
    <t>杨伦宽</t>
  </si>
  <si>
    <t>杨伦宽,罗银芝,杨春燕</t>
  </si>
  <si>
    <t>F950015215433015</t>
  </si>
  <si>
    <t>张启凯</t>
  </si>
  <si>
    <t>张宇娇,张启凯,何国金</t>
  </si>
  <si>
    <t>F950015241995429</t>
  </si>
  <si>
    <t>杨文武</t>
  </si>
  <si>
    <t>廖学芳,杨潇,杨文武</t>
  </si>
  <si>
    <t>F950015586370542</t>
  </si>
  <si>
    <t>赵桂兰</t>
  </si>
  <si>
    <t>赵桂兰,聂国友</t>
  </si>
  <si>
    <t>F950015814964574</t>
  </si>
  <si>
    <t>杨玉文</t>
  </si>
  <si>
    <t>F950020714495799</t>
  </si>
  <si>
    <t>张启强</t>
  </si>
  <si>
    <t>F950024135745873</t>
  </si>
  <si>
    <t>简光书</t>
  </si>
  <si>
    <t>田根泽,简光书,田霞</t>
  </si>
  <si>
    <t>F950024703870279</t>
  </si>
  <si>
    <t>胡安珍</t>
  </si>
  <si>
    <t>F950026838245324</t>
  </si>
  <si>
    <t>王复伟</t>
  </si>
  <si>
    <t>王复伟,庞锋莲,王婷,罗国银,王璐</t>
  </si>
  <si>
    <t>F950027051683114</t>
  </si>
  <si>
    <t>尹文贞</t>
  </si>
  <si>
    <t>尹松,尹文贞</t>
  </si>
  <si>
    <t>F950028463714377</t>
  </si>
  <si>
    <t>梁金秀</t>
  </si>
  <si>
    <t>梁金秀,邓忠汉</t>
  </si>
  <si>
    <t>F950028781995790</t>
  </si>
  <si>
    <t>邱兴云</t>
  </si>
  <si>
    <t>邱兴云,吴林芝,邱荣斌,吴明六</t>
  </si>
  <si>
    <t>F950029096527451</t>
  </si>
  <si>
    <t>张立容</t>
  </si>
  <si>
    <t>F950030364495734</t>
  </si>
  <si>
    <t>王远红</t>
  </si>
  <si>
    <t>F950030601057800</t>
  </si>
  <si>
    <t>王远支</t>
  </si>
  <si>
    <t>F950030718870780</t>
  </si>
  <si>
    <t>李月秀</t>
  </si>
  <si>
    <t>陈友明,李月秀,陈德浩</t>
  </si>
  <si>
    <t>F950030784495906</t>
  </si>
  <si>
    <t>李琼,何美玲,何原鑫,何太友</t>
  </si>
  <si>
    <t>F950031156839109</t>
  </si>
  <si>
    <t>何国能</t>
  </si>
  <si>
    <t>何国能,何宜香</t>
  </si>
  <si>
    <t>F950032748870472</t>
  </si>
  <si>
    <t>罗文华</t>
  </si>
  <si>
    <t>F950033744339337</t>
  </si>
  <si>
    <t>王复华</t>
  </si>
  <si>
    <t>王勇强,王复华</t>
  </si>
  <si>
    <t>F950034287464395</t>
  </si>
  <si>
    <t>范敬文</t>
  </si>
  <si>
    <t>范敬文,邓叔琼</t>
  </si>
  <si>
    <t>F950035011526687</t>
  </si>
  <si>
    <t>F950035207464374</t>
  </si>
  <si>
    <t>汪勇龙</t>
  </si>
  <si>
    <t>F950035735745548</t>
  </si>
  <si>
    <t>范友前</t>
  </si>
  <si>
    <t>范仕豪,黎华秀,范素英,范友前</t>
  </si>
  <si>
    <t>F950036283246123</t>
  </si>
  <si>
    <t>王永林</t>
  </si>
  <si>
    <t>F950036885120343</t>
  </si>
  <si>
    <t>陈建华</t>
  </si>
  <si>
    <t>吴琳泽,吴彦博,陈建华</t>
  </si>
  <si>
    <t>F950037010746145</t>
  </si>
  <si>
    <t>杨伦全</t>
  </si>
  <si>
    <t>F950037172308225</t>
  </si>
  <si>
    <t>杨云强</t>
  </si>
  <si>
    <t>杨云强,邱荣秀</t>
  </si>
  <si>
    <t>F950039785277453</t>
  </si>
  <si>
    <t>杨伦勇</t>
  </si>
  <si>
    <t>杨伦勇,张阳</t>
  </si>
  <si>
    <t>F950039953402230</t>
  </si>
  <si>
    <t>F950040487932983</t>
  </si>
  <si>
    <t>朱淑文</t>
  </si>
  <si>
    <t>F950040672464564</t>
  </si>
  <si>
    <t>唐开元</t>
  </si>
  <si>
    <t>F950042240277033</t>
  </si>
  <si>
    <t>王行林</t>
  </si>
  <si>
    <t>F950042876058152</t>
  </si>
  <si>
    <t>毛开秀</t>
  </si>
  <si>
    <t>F950043179183077</t>
  </si>
  <si>
    <t>范敬言</t>
  </si>
  <si>
    <t>F950043328090049</t>
  </si>
  <si>
    <t>杨定均</t>
  </si>
  <si>
    <t>夏建花,杨定均</t>
  </si>
  <si>
    <t>F950044338088988</t>
  </si>
  <si>
    <t>张秀明</t>
  </si>
  <si>
    <t>F950044445276723</t>
  </si>
  <si>
    <t>夏道凤</t>
  </si>
  <si>
    <t>F950044452308068</t>
  </si>
  <si>
    <t>杨伦伍</t>
  </si>
  <si>
    <t>何安群,杨伦伍,杨权</t>
  </si>
  <si>
    <t>F183982389181752</t>
  </si>
  <si>
    <t>钟坪村委会</t>
  </si>
  <si>
    <t>唐桂枝</t>
  </si>
  <si>
    <t>王萍,陈施琦,唐桂枝,陈卓</t>
  </si>
  <si>
    <t>F184140640119985</t>
  </si>
  <si>
    <t>李云华</t>
  </si>
  <si>
    <t>郭德秀,李云华,李志刚</t>
  </si>
  <si>
    <t>F344881287281230</t>
  </si>
  <si>
    <t>范进洪</t>
  </si>
  <si>
    <t>F344882766344015</t>
  </si>
  <si>
    <t>何定斌,罗自富</t>
  </si>
  <si>
    <t>F353971518446759</t>
  </si>
  <si>
    <t>潘英富</t>
  </si>
  <si>
    <t>F398059039346962</t>
  </si>
  <si>
    <t>周群</t>
  </si>
  <si>
    <t>周群,周安友,周吉方,周钰汐</t>
  </si>
  <si>
    <t>F494035579304827</t>
  </si>
  <si>
    <t>刘国枝</t>
  </si>
  <si>
    <t>F523478247683547</t>
  </si>
  <si>
    <t>朱明昌</t>
  </si>
  <si>
    <t>F582127773035738</t>
  </si>
  <si>
    <t>朱明华</t>
  </si>
  <si>
    <t>朱明华,李丽芳</t>
  </si>
  <si>
    <t>F734415273602007</t>
  </si>
  <si>
    <t>焦和珍</t>
  </si>
  <si>
    <t>林关华,林雪,焦和珍</t>
  </si>
  <si>
    <t>F947369527245648</t>
  </si>
  <si>
    <t>朱明香</t>
  </si>
  <si>
    <t>F949574588274557</t>
  </si>
  <si>
    <t>严天富</t>
  </si>
  <si>
    <t>F949982218089526</t>
  </si>
  <si>
    <t>朱文贵</t>
  </si>
  <si>
    <t>F949982496214383</t>
  </si>
  <si>
    <t>李安华</t>
  </si>
  <si>
    <t>F949984305901917</t>
  </si>
  <si>
    <t>伍胜全</t>
  </si>
  <si>
    <t>F949986044964231</t>
  </si>
  <si>
    <t>梁桂华</t>
  </si>
  <si>
    <t>F950011496214340</t>
  </si>
  <si>
    <t>朱德文</t>
  </si>
  <si>
    <t>F950011611370738</t>
  </si>
  <si>
    <t>F950011702152491</t>
  </si>
  <si>
    <t>欧仕全</t>
  </si>
  <si>
    <t>欧仕全,欧燕林,邬香</t>
  </si>
  <si>
    <t>F950012985277344</t>
  </si>
  <si>
    <t>廖天义</t>
  </si>
  <si>
    <t>F950013091058117</t>
  </si>
  <si>
    <t>牟光平</t>
  </si>
  <si>
    <t>李清树,牟光平</t>
  </si>
  <si>
    <t>F950013131527359</t>
  </si>
  <si>
    <t>王桂琼</t>
  </si>
  <si>
    <t>F950013719808017</t>
  </si>
  <si>
    <t>谢福明</t>
  </si>
  <si>
    <t>F950013722776553</t>
  </si>
  <si>
    <t>张仙芝</t>
  </si>
  <si>
    <t>F950014462308212</t>
  </si>
  <si>
    <t>潘冬梅</t>
  </si>
  <si>
    <t>F950014552308128</t>
  </si>
  <si>
    <t>朱明喜</t>
  </si>
  <si>
    <t>F950014993714473</t>
  </si>
  <si>
    <t>明秀云</t>
  </si>
  <si>
    <t>明秀云,王帮贤</t>
  </si>
  <si>
    <t>F950015053401713</t>
  </si>
  <si>
    <t>郑明友</t>
  </si>
  <si>
    <t>F950015146839071</t>
  </si>
  <si>
    <t>朱德明</t>
  </si>
  <si>
    <t>张强容,朱德明,朱瑜霖,陈桂秀,朱家霖</t>
  </si>
  <si>
    <t>F950015405901829</t>
  </si>
  <si>
    <t>王娣秀</t>
  </si>
  <si>
    <t>夏平,王娣秀</t>
  </si>
  <si>
    <t>F950015528089134</t>
  </si>
  <si>
    <t>朱勇</t>
  </si>
  <si>
    <t>朱勇,何桂珍,张利</t>
  </si>
  <si>
    <t>F950015676370278</t>
  </si>
  <si>
    <t>郑明富</t>
  </si>
  <si>
    <t>F950016477307818</t>
  </si>
  <si>
    <t>朱秀富</t>
  </si>
  <si>
    <t>F950016712776916</t>
  </si>
  <si>
    <t>王如芝</t>
  </si>
  <si>
    <t>F950022624339097</t>
  </si>
  <si>
    <t>朱德富</t>
  </si>
  <si>
    <t>赵先情,朱德富</t>
  </si>
  <si>
    <t>F950024422621288</t>
  </si>
  <si>
    <t>王祖莲</t>
  </si>
  <si>
    <t>F950025793401828</t>
  </si>
  <si>
    <t>罗志贵</t>
  </si>
  <si>
    <t>F950027869027419</t>
  </si>
  <si>
    <t>张立成</t>
  </si>
  <si>
    <t>张和轩,张娅楠,张兰元,祝芙容,张立成,张旭</t>
  </si>
  <si>
    <t>F950028430901861</t>
  </si>
  <si>
    <t>范志刚</t>
  </si>
  <si>
    <t>F950028433558023</t>
  </si>
  <si>
    <t>刘泽洪</t>
  </si>
  <si>
    <t>F950028455745931</t>
  </si>
  <si>
    <t>张立全</t>
  </si>
  <si>
    <t>F950029056839347</t>
  </si>
  <si>
    <t>罗志友</t>
  </si>
  <si>
    <t>F950029094183225</t>
  </si>
  <si>
    <t>汪培树</t>
  </si>
  <si>
    <t>F950029958402046</t>
  </si>
  <si>
    <t>欧仕才</t>
  </si>
  <si>
    <t>欧仕才,陈英惠</t>
  </si>
  <si>
    <t>F950030306058234</t>
  </si>
  <si>
    <t>李云秀</t>
  </si>
  <si>
    <t>李云秀,任忠奇,任冬梅,杨雨函</t>
  </si>
  <si>
    <t>F950031100276805</t>
  </si>
  <si>
    <t>朱泽文</t>
  </si>
  <si>
    <t>F950032017620756</t>
  </si>
  <si>
    <t>邱云珍</t>
  </si>
  <si>
    <t>F950032463245881</t>
  </si>
  <si>
    <t>邱润芝</t>
  </si>
  <si>
    <t>F950032466058210</t>
  </si>
  <si>
    <t>王世贵</t>
  </si>
  <si>
    <t>王世贵,干代珍,王成银,王朝星,王朝红</t>
  </si>
  <si>
    <t>F950032587620541</t>
  </si>
  <si>
    <t>潘英友</t>
  </si>
  <si>
    <t>F950032842932995</t>
  </si>
  <si>
    <t>余金芝</t>
  </si>
  <si>
    <t>F950033111995846</t>
  </si>
  <si>
    <t>王世霞</t>
  </si>
  <si>
    <t>F950034509495647</t>
  </si>
  <si>
    <t>吴朝乐</t>
  </si>
  <si>
    <t>F950035823089352</t>
  </si>
  <si>
    <t>叶友富</t>
  </si>
  <si>
    <t>F950036144808045</t>
  </si>
  <si>
    <t>明秀坤</t>
  </si>
  <si>
    <t>F950036429026947</t>
  </si>
  <si>
    <t>罗顺华</t>
  </si>
  <si>
    <t>罗顺华,晏义秀</t>
  </si>
  <si>
    <t>F950036533871305</t>
  </si>
  <si>
    <t>杨兴珍</t>
  </si>
  <si>
    <t>F950036835589668</t>
  </si>
  <si>
    <t>马作兰</t>
  </si>
  <si>
    <t>F950037899651908</t>
  </si>
  <si>
    <t>郑秀枝</t>
  </si>
  <si>
    <t>F950038140432980</t>
  </si>
  <si>
    <t>简庆明</t>
  </si>
  <si>
    <t>简庆明,胡太荣</t>
  </si>
  <si>
    <t>F950038355589440</t>
  </si>
  <si>
    <t>范小蓉</t>
  </si>
  <si>
    <t>F950038527620472</t>
  </si>
  <si>
    <t>宋成华</t>
  </si>
  <si>
    <t>F950038718401850</t>
  </si>
  <si>
    <t>郑桂芝</t>
  </si>
  <si>
    <t>F950039103402053</t>
  </si>
  <si>
    <t>彭华英</t>
  </si>
  <si>
    <t>彭华英,唐桂芝</t>
  </si>
  <si>
    <t>F950040012308188</t>
  </si>
  <si>
    <t>F950040022152230</t>
  </si>
  <si>
    <t>朱明德</t>
  </si>
  <si>
    <t>F950040224495438</t>
  </si>
  <si>
    <t>朱秀顺</t>
  </si>
  <si>
    <t>F950040621683026</t>
  </si>
  <si>
    <t>陈现芝</t>
  </si>
  <si>
    <t>陈现芝,张明,程远华,张春林</t>
  </si>
  <si>
    <t>F950040785589719</t>
  </si>
  <si>
    <t>F950042393246141</t>
  </si>
  <si>
    <t>范德光</t>
  </si>
  <si>
    <t>范德光,张立学</t>
  </si>
  <si>
    <t>F950042517464472</t>
  </si>
  <si>
    <t>朱明臣</t>
  </si>
  <si>
    <t>费婷,费功富,王永香,朱明臣,朱利红</t>
  </si>
  <si>
    <t>F950042617464715</t>
  </si>
  <si>
    <t>汪培书</t>
  </si>
  <si>
    <t>F950043001683016</t>
  </si>
  <si>
    <t>宋明珍</t>
  </si>
  <si>
    <t>宋明珍,李永鸿,赵忠秀,李佳芯,李清远</t>
  </si>
  <si>
    <t>F950043057620487</t>
  </si>
  <si>
    <t>唐桂华</t>
  </si>
  <si>
    <t>F950043113557838</t>
  </si>
  <si>
    <t>朱明康</t>
  </si>
  <si>
    <t>F950043906839538</t>
  </si>
  <si>
    <t>陆再凤</t>
  </si>
  <si>
    <t>F950044110120530</t>
  </si>
  <si>
    <t>朱晓琴</t>
  </si>
  <si>
    <t>薛瑞,朱凤群,朱晓琴</t>
  </si>
  <si>
    <t>F950044209651981</t>
  </si>
  <si>
    <t>F950044285276759</t>
  </si>
  <si>
    <t>张兰凤</t>
  </si>
  <si>
    <t>F950044733089396</t>
  </si>
  <si>
    <t>罗正英</t>
  </si>
  <si>
    <t>罗正英,王世忠</t>
  </si>
  <si>
    <t>F026908624340398</t>
  </si>
  <si>
    <t>里坪村委会</t>
  </si>
  <si>
    <t>崔书均</t>
  </si>
  <si>
    <t>范世连,崔书均,崔佳毅</t>
  </si>
  <si>
    <t>F215256622904627</t>
  </si>
  <si>
    <t>王孝春</t>
  </si>
  <si>
    <t>王孝春,王婷</t>
  </si>
  <si>
    <t>F237708249447432</t>
  </si>
  <si>
    <t>蒋奎</t>
  </si>
  <si>
    <t>鲁桂兰,蒋奎,蒋玖平,蒋敏</t>
  </si>
  <si>
    <t>F237711220854248</t>
  </si>
  <si>
    <t>王弟强</t>
  </si>
  <si>
    <t>李淑华,王弟强</t>
  </si>
  <si>
    <t>F347232360406371</t>
  </si>
  <si>
    <t>王启和</t>
  </si>
  <si>
    <t>王启和,王碧和</t>
  </si>
  <si>
    <t>F364300893188578</t>
  </si>
  <si>
    <t>杨学全</t>
  </si>
  <si>
    <t>李启秀,杨玉麟,杨学全,杨晶城</t>
  </si>
  <si>
    <t>F364311126485647</t>
  </si>
  <si>
    <t>简光利</t>
  </si>
  <si>
    <t>F403613706677918</t>
  </si>
  <si>
    <t>郑明书</t>
  </si>
  <si>
    <t>郑明书,郑安均,郑帮云</t>
  </si>
  <si>
    <t>F523471732185172</t>
  </si>
  <si>
    <t>罗枝连</t>
  </si>
  <si>
    <t>朱利平,罗枝连</t>
  </si>
  <si>
    <t>F949569144104014</t>
  </si>
  <si>
    <t>王帮伟</t>
  </si>
  <si>
    <t>王仁琪,王文祥,王美芳,王帮伟</t>
  </si>
  <si>
    <t>F949982181527054</t>
  </si>
  <si>
    <t>袁俊明</t>
  </si>
  <si>
    <t>袁俊明,潘福田,李启富,李诚峻,陈璐</t>
  </si>
  <si>
    <t>F949984264496135</t>
  </si>
  <si>
    <t>赵中友</t>
  </si>
  <si>
    <t>赵旭林,赵中友,王淑芳,胡太芝,赵金钱</t>
  </si>
  <si>
    <t>F949984479964692</t>
  </si>
  <si>
    <t>柯昌群</t>
  </si>
  <si>
    <t>柯昌群,郑安贵,郑柯</t>
  </si>
  <si>
    <t>F949986035589537</t>
  </si>
  <si>
    <t>赵秀英</t>
  </si>
  <si>
    <t>刘丽,朱红全,朱明六,朱明孝,朱红林,赵秀英</t>
  </si>
  <si>
    <t>F950009853870739</t>
  </si>
  <si>
    <t>F950011345276745</t>
  </si>
  <si>
    <t>潘绍文,王安明,李成群,潘复全</t>
  </si>
  <si>
    <t>F950011635902180</t>
  </si>
  <si>
    <t>蒋正奎</t>
  </si>
  <si>
    <t>F950011801995533</t>
  </si>
  <si>
    <t>刘怀泉</t>
  </si>
  <si>
    <t>刘燕霞,水普阿机,刘怀泉,刘佳丽</t>
  </si>
  <si>
    <t>F950013359026530</t>
  </si>
  <si>
    <t>张富邦</t>
  </si>
  <si>
    <t>F950013375745358</t>
  </si>
  <si>
    <t>郑桂兰</t>
  </si>
  <si>
    <t>F950013793557957</t>
  </si>
  <si>
    <t>赵文贵</t>
  </si>
  <si>
    <t>赵文贵,赵宏,张月芬</t>
  </si>
  <si>
    <t>F950014498558041</t>
  </si>
  <si>
    <t>朱明论</t>
  </si>
  <si>
    <t>彭兴桂,朱德群,朱明论</t>
  </si>
  <si>
    <t>F950014642933084</t>
  </si>
  <si>
    <t>董桂芝</t>
  </si>
  <si>
    <t>F950015366370483</t>
  </si>
  <si>
    <t>王玉芝</t>
  </si>
  <si>
    <t>F950015513089411</t>
  </si>
  <si>
    <t>王召军</t>
  </si>
  <si>
    <t>F950015534651806</t>
  </si>
  <si>
    <t>鲁成富</t>
  </si>
  <si>
    <t>鲁成富,张邦云,邱云芳</t>
  </si>
  <si>
    <t>F950015664339845</t>
  </si>
  <si>
    <t>王安喜</t>
  </si>
  <si>
    <t>F950016479808099</t>
  </si>
  <si>
    <t>颜明友</t>
  </si>
  <si>
    <t>颜明友,王道英</t>
  </si>
  <si>
    <t>F950016506839800</t>
  </si>
  <si>
    <t>简光才</t>
  </si>
  <si>
    <t>简光才,简国富</t>
  </si>
  <si>
    <t>F950020671214461</t>
  </si>
  <si>
    <t>简兴纯</t>
  </si>
  <si>
    <t>简兴纯,简光乾</t>
  </si>
  <si>
    <t>F950022368401749</t>
  </si>
  <si>
    <t>宋仙珍</t>
  </si>
  <si>
    <t>F950022559652307</t>
  </si>
  <si>
    <t>王应榜</t>
  </si>
  <si>
    <t>王应榜,周盛芝</t>
  </si>
  <si>
    <t>F950022577151889</t>
  </si>
  <si>
    <t>钟龙秀</t>
  </si>
  <si>
    <t>F950025992151995</t>
  </si>
  <si>
    <t>易淑兰</t>
  </si>
  <si>
    <t>F950026465120991</t>
  </si>
  <si>
    <t>朱加顺</t>
  </si>
  <si>
    <t>李涵,朱加顺</t>
  </si>
  <si>
    <t>F950026895120748</t>
  </si>
  <si>
    <t>吴登发</t>
  </si>
  <si>
    <t>王贵全,吴登发</t>
  </si>
  <si>
    <t>F950026978557987</t>
  </si>
  <si>
    <t>简光秀</t>
  </si>
  <si>
    <t>F950027161839354</t>
  </si>
  <si>
    <t>王应兵</t>
  </si>
  <si>
    <t>王应兵,朱玉芝,王健蓉</t>
  </si>
  <si>
    <t>F950027775589238</t>
  </si>
  <si>
    <t>崔阳香</t>
  </si>
  <si>
    <t>F950027935433127</t>
  </si>
  <si>
    <t>王安元</t>
  </si>
  <si>
    <t>F950028525745563</t>
  </si>
  <si>
    <t>赵立旺</t>
  </si>
  <si>
    <t>F950029910433031</t>
  </si>
  <si>
    <t>蒋正安</t>
  </si>
  <si>
    <t>蒋正安,刘义珍</t>
  </si>
  <si>
    <t>F950030438089525</t>
  </si>
  <si>
    <t>杨启秀</t>
  </si>
  <si>
    <t>F950030660589418</t>
  </si>
  <si>
    <t>郭玉兰</t>
  </si>
  <si>
    <t>F950030754496514</t>
  </si>
  <si>
    <t>王安石</t>
  </si>
  <si>
    <t>周红梅,王安石,王志平</t>
  </si>
  <si>
    <t>F950030877933302</t>
  </si>
  <si>
    <t>鲜友贵</t>
  </si>
  <si>
    <t>F950031091527002</t>
  </si>
  <si>
    <t>常贵枝</t>
  </si>
  <si>
    <t>F950031900901722</t>
  </si>
  <si>
    <t>杨财云</t>
  </si>
  <si>
    <t>F950031960276719</t>
  </si>
  <si>
    <t>王显友</t>
  </si>
  <si>
    <t>王显友,常朝秀,费功炯,王应容</t>
  </si>
  <si>
    <t>F950032502933389</t>
  </si>
  <si>
    <t>罗志英</t>
  </si>
  <si>
    <t>F950032914651871</t>
  </si>
  <si>
    <t>蒋正府</t>
  </si>
  <si>
    <t>F950033094026613</t>
  </si>
  <si>
    <t>王明树</t>
  </si>
  <si>
    <t>F950034393089442</t>
  </si>
  <si>
    <t>王帮秀</t>
  </si>
  <si>
    <t>何永梅,王帮秀,何丙才</t>
  </si>
  <si>
    <t>F950034923246152</t>
  </si>
  <si>
    <t>朱均文</t>
  </si>
  <si>
    <t>F950035111371391</t>
  </si>
  <si>
    <t>贺忠强</t>
  </si>
  <si>
    <t>贺健航,贺忠强</t>
  </si>
  <si>
    <t>F950035114339196</t>
  </si>
  <si>
    <t>何国兵</t>
  </si>
  <si>
    <t>何国兵,何卓家,何坪芯</t>
  </si>
  <si>
    <t>F950036729807836</t>
  </si>
  <si>
    <t>黎茂英</t>
  </si>
  <si>
    <t>黎茂英,陈勇</t>
  </si>
  <si>
    <t>F950037072776871</t>
  </si>
  <si>
    <t>喻淑芬</t>
  </si>
  <si>
    <t>F950037112465092</t>
  </si>
  <si>
    <t>杨兴云</t>
  </si>
  <si>
    <t>F950038203870788</t>
  </si>
  <si>
    <t>蒋正富</t>
  </si>
  <si>
    <t>蒋才学,蒋正富</t>
  </si>
  <si>
    <t>F950038292151672</t>
  </si>
  <si>
    <t>宋贵枝</t>
  </si>
  <si>
    <t>F950038576526815</t>
  </si>
  <si>
    <t>朱云文</t>
  </si>
  <si>
    <t>朱云文,李多莲</t>
  </si>
  <si>
    <t>F950038800902231</t>
  </si>
  <si>
    <t>朱正品</t>
  </si>
  <si>
    <t>F950039067152492</t>
  </si>
  <si>
    <t>叶世群</t>
  </si>
  <si>
    <t>叶世群,王树枝,叶芋梅,叶鹏</t>
  </si>
  <si>
    <t>F950039160745779</t>
  </si>
  <si>
    <t>王安清</t>
  </si>
  <si>
    <t>F950040123870689</t>
  </si>
  <si>
    <t>王秀英</t>
  </si>
  <si>
    <t>冷邦军,王秀英</t>
  </si>
  <si>
    <t>F950040414026835</t>
  </si>
  <si>
    <t>瞿向才</t>
  </si>
  <si>
    <t>瞿向才,瞿世富</t>
  </si>
  <si>
    <t>F950040743558644</t>
  </si>
  <si>
    <t>常玉文</t>
  </si>
  <si>
    <t>常玉文,朱有文</t>
  </si>
  <si>
    <t>F950040753870541</t>
  </si>
  <si>
    <t>朱正平</t>
  </si>
  <si>
    <t>F950041236214275</t>
  </si>
  <si>
    <t>刘孔怀</t>
  </si>
  <si>
    <t>F950041864652244</t>
  </si>
  <si>
    <t>徐锦银</t>
  </si>
  <si>
    <t>F950042086839664</t>
  </si>
  <si>
    <t>宋红霞</t>
  </si>
  <si>
    <t>F950042406995821</t>
  </si>
  <si>
    <t>蒋长富</t>
  </si>
  <si>
    <t>F950042847776730</t>
  </si>
  <si>
    <t>王克兵</t>
  </si>
  <si>
    <t>王克兵,王青山,欧世兰</t>
  </si>
  <si>
    <t>F950043039495631</t>
  </si>
  <si>
    <t>王淑有</t>
  </si>
  <si>
    <t>F950043054964542</t>
  </si>
  <si>
    <t>余连香</t>
  </si>
  <si>
    <t>余连香,王小林</t>
  </si>
  <si>
    <t>F950043343089694</t>
  </si>
  <si>
    <t>王安成</t>
  </si>
  <si>
    <t>王安成,朱淑群,王群</t>
  </si>
  <si>
    <t>F950044264964463</t>
  </si>
  <si>
    <t>常兴贵</t>
  </si>
  <si>
    <t>常英,毛枝秀,常兴贵</t>
  </si>
  <si>
    <t>F950044356370662</t>
  </si>
  <si>
    <t>郑旭华</t>
  </si>
  <si>
    <t>郑旭华,曾茱</t>
  </si>
  <si>
    <t>F159213706547538</t>
  </si>
  <si>
    <t>铁炉村委会</t>
  </si>
  <si>
    <t>F215172206965875</t>
  </si>
  <si>
    <t>赵先仲</t>
  </si>
  <si>
    <t>F402526636900373</t>
  </si>
  <si>
    <t>F653114473240787</t>
  </si>
  <si>
    <t>杨庆英</t>
  </si>
  <si>
    <t>王健吉,杨庆英,王安忠</t>
  </si>
  <si>
    <t>F682990999095520</t>
  </si>
  <si>
    <t>余友和</t>
  </si>
  <si>
    <t>余友和,余世明,赵大群</t>
  </si>
  <si>
    <t>F945710308089665</t>
  </si>
  <si>
    <t>赵大志</t>
  </si>
  <si>
    <t>F949982361839606</t>
  </si>
  <si>
    <t>唐桂容</t>
  </si>
  <si>
    <t>胡琴,唐桂容</t>
  </si>
  <si>
    <t>F950009719026998</t>
  </si>
  <si>
    <t>郑定友</t>
  </si>
  <si>
    <t>F950011555433120</t>
  </si>
  <si>
    <t>王天凤</t>
  </si>
  <si>
    <t>F950011657620802</t>
  </si>
  <si>
    <t>陈绍琴</t>
  </si>
  <si>
    <t>F950013407464586</t>
  </si>
  <si>
    <t>朱明玉</t>
  </si>
  <si>
    <t>杨思语,赵先贵,朱明玉</t>
  </si>
  <si>
    <t>F950013547464355</t>
  </si>
  <si>
    <t>F950013620277127</t>
  </si>
  <si>
    <t>赵继伦</t>
  </si>
  <si>
    <t>F950015276682770</t>
  </si>
  <si>
    <t>费元洪</t>
  </si>
  <si>
    <t>费翔,费元洪</t>
  </si>
  <si>
    <t>F950015754182932</t>
  </si>
  <si>
    <t>李玉珍</t>
  </si>
  <si>
    <t>F950018770902040</t>
  </si>
  <si>
    <t>王定金</t>
  </si>
  <si>
    <t>王定金,朱秀会,王宗泽</t>
  </si>
  <si>
    <t>F950020748089410</t>
  </si>
  <si>
    <t>黄金凤</t>
  </si>
  <si>
    <t>F950022406370963</t>
  </si>
  <si>
    <t>胡敏惠</t>
  </si>
  <si>
    <t>胡敏惠,黎嘉玲,陈红江</t>
  </si>
  <si>
    <t>F950022619808036</t>
  </si>
  <si>
    <t>李华贵</t>
  </si>
  <si>
    <t>王大勇,李华贵</t>
  </si>
  <si>
    <t>F950022679026956</t>
  </si>
  <si>
    <t>赵启平</t>
  </si>
  <si>
    <t>赵鑫,赵启平,祝素蓉</t>
  </si>
  <si>
    <t>F950024219808202</t>
  </si>
  <si>
    <t>朱语华</t>
  </si>
  <si>
    <t>朱婷,朱语华,朱杨,朱磊,童本均</t>
  </si>
  <si>
    <t>F950025086058330</t>
  </si>
  <si>
    <t>吴根秀</t>
  </si>
  <si>
    <t>吴根秀,王邦龙,王冬梅</t>
  </si>
  <si>
    <t>F950025789808575</t>
  </si>
  <si>
    <t>肖昌华</t>
  </si>
  <si>
    <t>肖昌华,肖涯,刘顺兰,黎发淋</t>
  </si>
  <si>
    <t>F950025828714867</t>
  </si>
  <si>
    <t>赵洪全</t>
  </si>
  <si>
    <t>赵洪全,王全枝,赵旭刚</t>
  </si>
  <si>
    <t>F950025891058358</t>
  </si>
  <si>
    <t>刘智侨</t>
  </si>
  <si>
    <t>F950027919495330</t>
  </si>
  <si>
    <t>陈友容</t>
  </si>
  <si>
    <t>陈友容,赵先顺,赵淋,赵红燕</t>
  </si>
  <si>
    <t>F950028145120564</t>
  </si>
  <si>
    <t>胡树华</t>
  </si>
  <si>
    <t>F950028319964711</t>
  </si>
  <si>
    <t>赵先平</t>
  </si>
  <si>
    <t>F950029879339115</t>
  </si>
  <si>
    <t>黎茂友</t>
  </si>
  <si>
    <t>F950030972620493</t>
  </si>
  <si>
    <t>辜荣富</t>
  </si>
  <si>
    <t>F950031940276829</t>
  </si>
  <si>
    <t>叶文富</t>
  </si>
  <si>
    <t>叶春来,彭世财,彭熙恒,彭子芸,叶文富</t>
  </si>
  <si>
    <t>F950031996527095</t>
  </si>
  <si>
    <t>杨桂英</t>
  </si>
  <si>
    <t>杨桂英,赵先福,赵宗元,赵淇</t>
  </si>
  <si>
    <t>F950032278245839</t>
  </si>
  <si>
    <t>赵业秀</t>
  </si>
  <si>
    <t>赵业秀,罗文义</t>
  </si>
  <si>
    <t>F950032621683139</t>
  </si>
  <si>
    <t>黎茂兵</t>
  </si>
  <si>
    <t>黎茂兵,黎家坪</t>
  </si>
  <si>
    <t>F950033010589407</t>
  </si>
  <si>
    <t>叶海中</t>
  </si>
  <si>
    <t>F950034032308118</t>
  </si>
  <si>
    <t>朱桂珍</t>
  </si>
  <si>
    <t>F950034073870292</t>
  </si>
  <si>
    <t>李学文</t>
  </si>
  <si>
    <t>王忠富,李学文,王地友,王俊莀</t>
  </si>
  <si>
    <t>F950034105120416</t>
  </si>
  <si>
    <t>杨桂珍</t>
  </si>
  <si>
    <t>F950034209027024</t>
  </si>
  <si>
    <t>邱玉春</t>
  </si>
  <si>
    <t>王林,邱玉春</t>
  </si>
  <si>
    <t>F950034654182855</t>
  </si>
  <si>
    <t>胡太珍</t>
  </si>
  <si>
    <t>F950034815433018</t>
  </si>
  <si>
    <t>赵军阳</t>
  </si>
  <si>
    <t>F950035212932810</t>
  </si>
  <si>
    <t>宋功明</t>
  </si>
  <si>
    <t>F950035751683052</t>
  </si>
  <si>
    <t>万秀英</t>
  </si>
  <si>
    <t>F950035921683013</t>
  </si>
  <si>
    <t>赵启训</t>
  </si>
  <si>
    <t>F950036372933319</t>
  </si>
  <si>
    <t>冷位华</t>
  </si>
  <si>
    <t>冷位华,吴秀英</t>
  </si>
  <si>
    <t>F950036466214266</t>
  </si>
  <si>
    <t>夏明春</t>
  </si>
  <si>
    <t>严光蔺,夏德刚,夏明春</t>
  </si>
  <si>
    <t>F950036705433051</t>
  </si>
  <si>
    <t>张安珍</t>
  </si>
  <si>
    <t>F950038072307966</t>
  </si>
  <si>
    <t>刘泽贵</t>
  </si>
  <si>
    <t>刘泽贵,刘刚,刘路旁,夏香枝</t>
  </si>
  <si>
    <t>F950038243245715</t>
  </si>
  <si>
    <t>唐朝秀</t>
  </si>
  <si>
    <t>F950038779964486</t>
  </si>
  <si>
    <t>赵水莲</t>
  </si>
  <si>
    <t>张启容,赵水莲</t>
  </si>
  <si>
    <t>F950038903870275</t>
  </si>
  <si>
    <t>赵启秋</t>
  </si>
  <si>
    <t>赵启秋,严天琼,万秀英,严天文</t>
  </si>
  <si>
    <t>F950039127933279</t>
  </si>
  <si>
    <t>林安文</t>
  </si>
  <si>
    <t>F950040536058532</t>
  </si>
  <si>
    <t>赵先富</t>
  </si>
  <si>
    <t>F950040675433375</t>
  </si>
  <si>
    <t>赵大宽</t>
  </si>
  <si>
    <t>F950040832464626</t>
  </si>
  <si>
    <t>宋功全</t>
  </si>
  <si>
    <t>宋功全,宋成周</t>
  </si>
  <si>
    <t>F950040933714393</t>
  </si>
  <si>
    <t>辜华枝</t>
  </si>
  <si>
    <t>F950042104964552</t>
  </si>
  <si>
    <t>李进红</t>
  </si>
  <si>
    <t>F950042312308254</t>
  </si>
  <si>
    <t>蒋秀文</t>
  </si>
  <si>
    <t>F950042752464523</t>
  </si>
  <si>
    <t>吴佰香</t>
  </si>
  <si>
    <t>F950042781995957</t>
  </si>
  <si>
    <t>赵启文</t>
  </si>
  <si>
    <t>赵启文,李强</t>
  </si>
  <si>
    <t>F950043051839585</t>
  </si>
  <si>
    <t>赵启香</t>
  </si>
  <si>
    <t>F950044846058090</t>
  </si>
  <si>
    <t>张昌友</t>
  </si>
  <si>
    <t>宋梦玲,张昌友,罗文珍,张秀国</t>
  </si>
  <si>
    <t>F037302410744023</t>
  </si>
  <si>
    <t>同心村委会</t>
  </si>
  <si>
    <t>张光权</t>
  </si>
  <si>
    <t>F037304603400191</t>
  </si>
  <si>
    <t>王兆祥</t>
  </si>
  <si>
    <t>王质彬,王伊琪,王梓洁,王兆祥,张月琼,邹静</t>
  </si>
  <si>
    <t>F215167407903477</t>
  </si>
  <si>
    <t>刘勇</t>
  </si>
  <si>
    <t>刘勇,刘呈祥</t>
  </si>
  <si>
    <t>F215173302278487</t>
  </si>
  <si>
    <t>冷富位</t>
  </si>
  <si>
    <t>冷安超,冷富位,严光珍,冷青荣,冷安洪,毛春兰</t>
  </si>
  <si>
    <t>F498975515057953</t>
  </si>
  <si>
    <t>许明清</t>
  </si>
  <si>
    <t>许明清,许再坤,范方枝,许书源</t>
  </si>
  <si>
    <t>F498987095907973</t>
  </si>
  <si>
    <t>严集鑫</t>
  </si>
  <si>
    <t>F578433835408311</t>
  </si>
  <si>
    <t>杨作云</t>
  </si>
  <si>
    <t>温琼英,杨成万,杨清然,杨璐姣,杨以轩,杨作云</t>
  </si>
  <si>
    <t>F653098574353720</t>
  </si>
  <si>
    <t>朱友珍</t>
  </si>
  <si>
    <t>F864439767066439</t>
  </si>
  <si>
    <t>严光灿</t>
  </si>
  <si>
    <t>严光灿,王启英</t>
  </si>
  <si>
    <t>F864447056174368</t>
  </si>
  <si>
    <t>程培根</t>
  </si>
  <si>
    <t>F864455260753797</t>
  </si>
  <si>
    <t>徐正才</t>
  </si>
  <si>
    <t>徐正才,徐天丽,万凤明,彭桂兰</t>
  </si>
  <si>
    <t>F947504469052123</t>
  </si>
  <si>
    <t>赵小强</t>
  </si>
  <si>
    <t>赵小强,赵梓豪</t>
  </si>
  <si>
    <t>F950015091370248</t>
  </si>
  <si>
    <t>冷秀英</t>
  </si>
  <si>
    <t>蔡杰辰,冷秀英,蔡学天,蔡震,蔡景玉</t>
  </si>
  <si>
    <t>F950015629183231</t>
  </si>
  <si>
    <t>郑天德</t>
  </si>
  <si>
    <t>郑天德,郑富贵</t>
  </si>
  <si>
    <t>F950016596214499</t>
  </si>
  <si>
    <t>王银秀</t>
  </si>
  <si>
    <t>F950024138401917</t>
  </si>
  <si>
    <t>王志文</t>
  </si>
  <si>
    <t>F950026921683349</t>
  </si>
  <si>
    <t>王从伦</t>
  </si>
  <si>
    <t>王从伦,徐大英,王刚</t>
  </si>
  <si>
    <t>F950030494808280</t>
  </si>
  <si>
    <t>张帮田</t>
  </si>
  <si>
    <t>F950030731214127</t>
  </si>
  <si>
    <t>王长贵</t>
  </si>
  <si>
    <t>王长贵,王义平,王春丽,梁文琼,陈文秀</t>
  </si>
  <si>
    <t>F950030808245828</t>
  </si>
  <si>
    <t>叶中华</t>
  </si>
  <si>
    <t>叶世均,叶中华,杨辉秀</t>
  </si>
  <si>
    <t>F950030840276755</t>
  </si>
  <si>
    <t>许再贵</t>
  </si>
  <si>
    <t>F950031064808199</t>
  </si>
  <si>
    <t>冯明春</t>
  </si>
  <si>
    <t>冯又桔,冯明春</t>
  </si>
  <si>
    <t>F950034569026524</t>
  </si>
  <si>
    <t>彭银秀</t>
  </si>
  <si>
    <t>彭银秀,龚绍华</t>
  </si>
  <si>
    <t>F950035187776857</t>
  </si>
  <si>
    <t>徐正文</t>
  </si>
  <si>
    <t>徐正文,叶文琼,徐阳</t>
  </si>
  <si>
    <t>F950042214495907</t>
  </si>
  <si>
    <t>张南文</t>
  </si>
  <si>
    <t>张南文,王秀容</t>
  </si>
  <si>
    <t>F950042342621081</t>
  </si>
  <si>
    <t>兰建贵</t>
  </si>
  <si>
    <t>F950042801058780</t>
  </si>
  <si>
    <t>周长坤</t>
  </si>
  <si>
    <t>严群英,周长坤</t>
  </si>
  <si>
    <t>F953576598245547</t>
  </si>
  <si>
    <t>徐凤</t>
  </si>
  <si>
    <t>徐凤,陈远英,叶永昊</t>
  </si>
  <si>
    <t>F128458254726810</t>
  </si>
  <si>
    <t>利店镇</t>
  </si>
  <si>
    <t>大桥村委会</t>
  </si>
  <si>
    <t>杨科</t>
  </si>
  <si>
    <t>杨科,王利容</t>
  </si>
  <si>
    <t>F128460686918536</t>
  </si>
  <si>
    <t>汪福明</t>
  </si>
  <si>
    <t>汪福明,卢伦芝</t>
  </si>
  <si>
    <t>F128464355090356</t>
  </si>
  <si>
    <t>张旭珍</t>
  </si>
  <si>
    <t>张旭珍,范定福</t>
  </si>
  <si>
    <t>F185052252368041</t>
  </si>
  <si>
    <t>宋绍银</t>
  </si>
  <si>
    <t>F185056635119180</t>
  </si>
  <si>
    <t>任利</t>
  </si>
  <si>
    <t>F187480646532477</t>
  </si>
  <si>
    <t>刘登富</t>
  </si>
  <si>
    <t>F215078948059681</t>
  </si>
  <si>
    <t>李云洪</t>
  </si>
  <si>
    <t>李云洪,李贵元,李华峰,康红桃,李华蓉,李萌</t>
  </si>
  <si>
    <t>F244774344780680</t>
  </si>
  <si>
    <t>曾光兵</t>
  </si>
  <si>
    <t>F265207290346142</t>
  </si>
  <si>
    <t>袁洪兵</t>
  </si>
  <si>
    <t>F949982024808391</t>
  </si>
  <si>
    <t>陈班会</t>
  </si>
  <si>
    <t>李俊承,陈班会,李仙桃,李杰</t>
  </si>
  <si>
    <t>F950011660745643</t>
  </si>
  <si>
    <t>余仁凤</t>
  </si>
  <si>
    <t>F950012987620689</t>
  </si>
  <si>
    <t>杨忠全</t>
  </si>
  <si>
    <t>杨忠全,杨春梅,陈少英</t>
  </si>
  <si>
    <t>F950013528245772</t>
  </si>
  <si>
    <t>姚绍云</t>
  </si>
  <si>
    <t>姚玉萍,姚绍云,姚文芳</t>
  </si>
  <si>
    <t>F950014925745411</t>
  </si>
  <si>
    <t>吴俊奇</t>
  </si>
  <si>
    <t>吴文杰,吴俊奇,刘加九</t>
  </si>
  <si>
    <t>F950015507620768</t>
  </si>
  <si>
    <t>王梁</t>
  </si>
  <si>
    <t>F950015657308031</t>
  </si>
  <si>
    <t>杜贵芝</t>
  </si>
  <si>
    <t>王正全,王业江,杜贵芝,张吉会</t>
  </si>
  <si>
    <t>F950015764495323</t>
  </si>
  <si>
    <t>郑国才</t>
  </si>
  <si>
    <t>郑国才,李富芝</t>
  </si>
  <si>
    <t>F950018407308447</t>
  </si>
  <si>
    <t>黄富贵</t>
  </si>
  <si>
    <t>黄富贵,安云才</t>
  </si>
  <si>
    <t>F950018425901810</t>
  </si>
  <si>
    <t>吴崇秀</t>
  </si>
  <si>
    <t>F950018624339348</t>
  </si>
  <si>
    <t>杨彬</t>
  </si>
  <si>
    <t>杨璐,袁世玉,杨彬</t>
  </si>
  <si>
    <t>F950018668558111</t>
  </si>
  <si>
    <t>吴群芝</t>
  </si>
  <si>
    <t>伍秋琼,吴群芝,胡佳敏,胡龙友</t>
  </si>
  <si>
    <t>F950026692620683</t>
  </si>
  <si>
    <t>王泽坤</t>
  </si>
  <si>
    <t>胡大英,余俊虹,王兴渝,王泽坤,王德伦</t>
  </si>
  <si>
    <t>F950026882151630</t>
  </si>
  <si>
    <t>刘天银</t>
  </si>
  <si>
    <t>刘天银,刘羽希,刘永海</t>
  </si>
  <si>
    <t>F950026891995299</t>
  </si>
  <si>
    <t>郑加桂</t>
  </si>
  <si>
    <t>F950027857933226</t>
  </si>
  <si>
    <t>陆燕香</t>
  </si>
  <si>
    <t>罗春艳,陆燕香</t>
  </si>
  <si>
    <t>F950028503714270</t>
  </si>
  <si>
    <t>宋祥为</t>
  </si>
  <si>
    <t>罗理云,宋祥为</t>
  </si>
  <si>
    <t>F950029038089164</t>
  </si>
  <si>
    <t>熊光宝</t>
  </si>
  <si>
    <t>F950029834964274</t>
  </si>
  <si>
    <t>李贵明</t>
  </si>
  <si>
    <t>李云洪,胡跃容,李贵明</t>
  </si>
  <si>
    <t>F950031043558494</t>
  </si>
  <si>
    <t>王顺</t>
  </si>
  <si>
    <t>F950032397932983</t>
  </si>
  <si>
    <t>曹加富</t>
  </si>
  <si>
    <t>F950033184183197</t>
  </si>
  <si>
    <t>陈炳志</t>
  </si>
  <si>
    <t>F950034086527385</t>
  </si>
  <si>
    <t>徐宏</t>
  </si>
  <si>
    <t>F950034123558041</t>
  </si>
  <si>
    <t>杨宣明</t>
  </si>
  <si>
    <t>F950034681683254</t>
  </si>
  <si>
    <t>黄兴雲</t>
  </si>
  <si>
    <t>黄吉祥,黄兴雲,黄德才,李志凤</t>
  </si>
  <si>
    <t>F950036651058054</t>
  </si>
  <si>
    <t>廖菊蓉</t>
  </si>
  <si>
    <t>F950041205276526</t>
  </si>
  <si>
    <t>潘金万</t>
  </si>
  <si>
    <t>王国孝,潘金万</t>
  </si>
  <si>
    <t>F950042401527048</t>
  </si>
  <si>
    <t>胡代强</t>
  </si>
  <si>
    <t>F950043032932763</t>
  </si>
  <si>
    <t>文兴全</t>
  </si>
  <si>
    <t>F950043115901930</t>
  </si>
  <si>
    <t>谢佃元</t>
  </si>
  <si>
    <t>李城林,谢春霞,李佳慧,谢佃元,徐国凤</t>
  </si>
  <si>
    <t>F950044360277023</t>
  </si>
  <si>
    <t>王富秀</t>
  </si>
  <si>
    <t>F997864337165577</t>
  </si>
  <si>
    <t>兰山</t>
  </si>
  <si>
    <t>兰山,兰鸿</t>
  </si>
  <si>
    <t>F005965335433164</t>
  </si>
  <si>
    <t>后山村委会</t>
  </si>
  <si>
    <t>郭朝君</t>
  </si>
  <si>
    <t>郭敬杨,郭朝君</t>
  </si>
  <si>
    <t>F005970706370854</t>
  </si>
  <si>
    <t>李条伦</t>
  </si>
  <si>
    <t>李条伦,李蓉</t>
  </si>
  <si>
    <t>F469709010257988</t>
  </si>
  <si>
    <t>罗华强</t>
  </si>
  <si>
    <t>罗溪,罗界鸿,罗华强</t>
  </si>
  <si>
    <t>F603194962459149</t>
  </si>
  <si>
    <t>黄英文</t>
  </si>
  <si>
    <t>黄英文,陈旭,陈德莉</t>
  </si>
  <si>
    <t>F949984154339150</t>
  </si>
  <si>
    <t>余仁香</t>
  </si>
  <si>
    <t>李安银,余仁香</t>
  </si>
  <si>
    <t>F949984349183049</t>
  </si>
  <si>
    <t>冯中香</t>
  </si>
  <si>
    <t>F949988376526547</t>
  </si>
  <si>
    <t>吴孝珍</t>
  </si>
  <si>
    <t>F950014620120460</t>
  </si>
  <si>
    <t>彭烈鲜</t>
  </si>
  <si>
    <t>F950014741057980</t>
  </si>
  <si>
    <t>钟候芳</t>
  </si>
  <si>
    <t>F950016319808541</t>
  </si>
  <si>
    <t>田林香</t>
  </si>
  <si>
    <t>田林香,周飞</t>
  </si>
  <si>
    <t>F950016647464270</t>
  </si>
  <si>
    <t>赵子军</t>
  </si>
  <si>
    <t>唐安欣,苏大珍,赵子军,赵小英</t>
  </si>
  <si>
    <t>F950016758870255</t>
  </si>
  <si>
    <t>李树林</t>
  </si>
  <si>
    <t>F950016763401777</t>
  </si>
  <si>
    <t>兰光凤</t>
  </si>
  <si>
    <t>F950016871526841</t>
  </si>
  <si>
    <t>傅大分</t>
  </si>
  <si>
    <t>F950018291839365</t>
  </si>
  <si>
    <t>周其伍</t>
  </si>
  <si>
    <t>周倬伊,周雨嫣,周昌骏,周其伍</t>
  </si>
  <si>
    <t>F950022416214242</t>
  </si>
  <si>
    <t>黄靖</t>
  </si>
  <si>
    <t>F950022509964462</t>
  </si>
  <si>
    <t>李际奎</t>
  </si>
  <si>
    <t>F950024187932794</t>
  </si>
  <si>
    <t>刘长兴</t>
  </si>
  <si>
    <t>F950024411058562</t>
  </si>
  <si>
    <t>郭桃生</t>
  </si>
  <si>
    <t>郭思雨,余跃枝,郭桃生</t>
  </si>
  <si>
    <t>F950029006839081</t>
  </si>
  <si>
    <t>袁世珍</t>
  </si>
  <si>
    <t>F950031199808157</t>
  </si>
  <si>
    <t>王国珍</t>
  </si>
  <si>
    <t>李华兴,李忠玉,李忠贤,王国珍</t>
  </si>
  <si>
    <t>F950033051995564</t>
  </si>
  <si>
    <t>罗明东</t>
  </si>
  <si>
    <t>罗明东,李国英</t>
  </si>
  <si>
    <t>F950034339651646</t>
  </si>
  <si>
    <t>彭正香</t>
  </si>
  <si>
    <t>F950036100120421</t>
  </si>
  <si>
    <t>吴训贵</t>
  </si>
  <si>
    <t>F950036262620756</t>
  </si>
  <si>
    <t>郑凤英</t>
  </si>
  <si>
    <t>F950037946058675</t>
  </si>
  <si>
    <t>王生全</t>
  </si>
  <si>
    <t>F950038281683580</t>
  </si>
  <si>
    <t>胡林枝</t>
  </si>
  <si>
    <t>F950038375901713</t>
  </si>
  <si>
    <t>龚光玉</t>
  </si>
  <si>
    <t>F950038698714573</t>
  </si>
  <si>
    <t>邓光秀</t>
  </si>
  <si>
    <t>F950038826526998</t>
  </si>
  <si>
    <t>徐君强</t>
  </si>
  <si>
    <t>F950039130901792</t>
  </si>
  <si>
    <t>王堂友</t>
  </si>
  <si>
    <t>王元清,王雪,王堂友</t>
  </si>
  <si>
    <t>F950039920745830</t>
  </si>
  <si>
    <t>张兴富</t>
  </si>
  <si>
    <t>唐秀珍,张永友,张兴富,张顺前,张永洁,张永成</t>
  </si>
  <si>
    <t>F950040530276945</t>
  </si>
  <si>
    <t>杨贵枝</t>
  </si>
  <si>
    <t>F950042126370821</t>
  </si>
  <si>
    <t>宋昌林</t>
  </si>
  <si>
    <t>宋昌林,彭传芬,彭冬梅</t>
  </si>
  <si>
    <t>F950043977776813</t>
  </si>
  <si>
    <t>肖绍明</t>
  </si>
  <si>
    <t>浦凤英,肖绍明,肖龙,肖雨婷,肖雨洁</t>
  </si>
  <si>
    <t>F950044468401831</t>
  </si>
  <si>
    <t>罗华平</t>
  </si>
  <si>
    <t>罗华平,罗馨,刘桂香</t>
  </si>
  <si>
    <t>F950044854495656</t>
  </si>
  <si>
    <t>李其荣</t>
  </si>
  <si>
    <t>李崇伦,李其荣,季秀英</t>
  </si>
  <si>
    <t>F212712476966664</t>
  </si>
  <si>
    <t>大田村委会</t>
  </si>
  <si>
    <t>杨啟平</t>
  </si>
  <si>
    <t>F237716297728966</t>
  </si>
  <si>
    <t>黄富珍</t>
  </si>
  <si>
    <t>F238379870385819</t>
  </si>
  <si>
    <t>胡现华</t>
  </si>
  <si>
    <t>F238386057260107</t>
  </si>
  <si>
    <t>杨仕明</t>
  </si>
  <si>
    <t>杨敏,邱枘锶,杨仕明,杨杭</t>
  </si>
  <si>
    <t>F244741362280037</t>
  </si>
  <si>
    <t>李泽全</t>
  </si>
  <si>
    <t>F265208763938980</t>
  </si>
  <si>
    <t>童万根</t>
  </si>
  <si>
    <t>童万根,童畏凡,童意,郑伦会</t>
  </si>
  <si>
    <t>F391036271356982</t>
  </si>
  <si>
    <t>胡跃宣</t>
  </si>
  <si>
    <t>何兴华,胡跃宣</t>
  </si>
  <si>
    <t>F576307381003706</t>
  </si>
  <si>
    <t>王志珍</t>
  </si>
  <si>
    <t>王志珍,吴永兵</t>
  </si>
  <si>
    <t>F683353239561594</t>
  </si>
  <si>
    <t>胡跃强</t>
  </si>
  <si>
    <t>胡跃强,胡梦茹,胡宇成,周世艳</t>
  </si>
  <si>
    <t>F762180773084429</t>
  </si>
  <si>
    <t>曹修武</t>
  </si>
  <si>
    <t>曹修武,祝芸芝</t>
  </si>
  <si>
    <t>F786012062500502</t>
  </si>
  <si>
    <t>张秀华</t>
  </si>
  <si>
    <t>F813614009728977</t>
  </si>
  <si>
    <t>钟廷富</t>
  </si>
  <si>
    <t>钟奥鑫,钟廷富,钟馨悦</t>
  </si>
  <si>
    <t>F868745938495031</t>
  </si>
  <si>
    <t>熊义文</t>
  </si>
  <si>
    <t>刘乾芝,熊清泉,熊义文</t>
  </si>
  <si>
    <t>F919746924547851</t>
  </si>
  <si>
    <t>李泽双</t>
  </si>
  <si>
    <t>F949984334339381</t>
  </si>
  <si>
    <t>陆万清</t>
  </si>
  <si>
    <t>F949984434652123</t>
  </si>
  <si>
    <t>李光荣</t>
  </si>
  <si>
    <t>李光荣,张树容</t>
  </si>
  <si>
    <t>F950009616527068</t>
  </si>
  <si>
    <t>崔月廷</t>
  </si>
  <si>
    <t>F950012897777167</t>
  </si>
  <si>
    <t>曾绍芳</t>
  </si>
  <si>
    <t>F950013674808428</t>
  </si>
  <si>
    <t>吴明红</t>
  </si>
  <si>
    <t>吴明红,杜朝英</t>
  </si>
  <si>
    <t>F950014807152177</t>
  </si>
  <si>
    <t>彭进</t>
  </si>
  <si>
    <t>秦德枢,彭进</t>
  </si>
  <si>
    <t>F950015168245416</t>
  </si>
  <si>
    <t>杨天永</t>
  </si>
  <si>
    <t>杨川东,杨天永</t>
  </si>
  <si>
    <t>F950018289183883</t>
  </si>
  <si>
    <t>舒从何</t>
  </si>
  <si>
    <t>舒其乐,陈兴秀,舒从何,舒志根</t>
  </si>
  <si>
    <t>F950018356526698</t>
  </si>
  <si>
    <t>左淋</t>
  </si>
  <si>
    <t>王化容,左淋,左潮澂,左潮滟,左彪</t>
  </si>
  <si>
    <t>F950020780589392</t>
  </si>
  <si>
    <t>李云富</t>
  </si>
  <si>
    <t>F950024259339390</t>
  </si>
  <si>
    <t>胡跃云</t>
  </si>
  <si>
    <t>F950026295589514</t>
  </si>
  <si>
    <t>童仁贵</t>
  </si>
  <si>
    <t>童仁贵,雷显珍</t>
  </si>
  <si>
    <t>F950026402776896</t>
  </si>
  <si>
    <t>何志友</t>
  </si>
  <si>
    <t>杨玉林,何世军,何忻怡,王调玉,何忻雨,何志友</t>
  </si>
  <si>
    <t>F950030097620514</t>
  </si>
  <si>
    <t>邓文华</t>
  </si>
  <si>
    <t>F950031876370684</t>
  </si>
  <si>
    <t>戢芮</t>
  </si>
  <si>
    <t>F950034910121002</t>
  </si>
  <si>
    <t>胡跃均</t>
  </si>
  <si>
    <t>黄友珍,胡跃均</t>
  </si>
  <si>
    <t>F950036601214580</t>
  </si>
  <si>
    <t>黄安友,黄定欣</t>
  </si>
  <si>
    <t>F950038209964326</t>
  </si>
  <si>
    <t>郭泽英,黄安富,黄定波</t>
  </si>
  <si>
    <t>F950038817620638</t>
  </si>
  <si>
    <t>戢洪贵</t>
  </si>
  <si>
    <t>戢俊,戢洪贵</t>
  </si>
  <si>
    <t>F950039767464901</t>
  </si>
  <si>
    <t>朱发友</t>
  </si>
  <si>
    <t>F950039889808397</t>
  </si>
  <si>
    <t>胡跃英</t>
  </si>
  <si>
    <t>石元英,胡跃英</t>
  </si>
  <si>
    <t>F950044181214376</t>
  </si>
  <si>
    <t>吴国太</t>
  </si>
  <si>
    <t>F950044212151674</t>
  </si>
  <si>
    <t>吴明金</t>
  </si>
  <si>
    <t>F006043308557909</t>
  </si>
  <si>
    <t>楼房村委会</t>
  </si>
  <si>
    <t>吴胜昌</t>
  </si>
  <si>
    <t>谢也江,吴胜昌</t>
  </si>
  <si>
    <t>F155919937422059</t>
  </si>
  <si>
    <t>魏德明</t>
  </si>
  <si>
    <t>F155921642718806</t>
  </si>
  <si>
    <t>马明金</t>
  </si>
  <si>
    <t>F155922771679606</t>
  </si>
  <si>
    <t>肖万富</t>
  </si>
  <si>
    <t>肖万富,胡勇武,肖佳鑫,肖雨桔</t>
  </si>
  <si>
    <t>F185059623617673</t>
  </si>
  <si>
    <t>卞有金</t>
  </si>
  <si>
    <t>卞有金,卞毅晴,卞仁军</t>
  </si>
  <si>
    <t>F212519388845400</t>
  </si>
  <si>
    <t>许炳清</t>
  </si>
  <si>
    <t>许炳清,冯小燕,许洪,许苹</t>
  </si>
  <si>
    <t>F604413217756546</t>
  </si>
  <si>
    <t>郑天贵</t>
  </si>
  <si>
    <t>F655017958250483</t>
  </si>
  <si>
    <t>卞有贵</t>
  </si>
  <si>
    <t>卞有贵,帅忠凤</t>
  </si>
  <si>
    <t>F655020910906962</t>
  </si>
  <si>
    <t>王邦勇</t>
  </si>
  <si>
    <t>王邦勇,杨必秀,王杰</t>
  </si>
  <si>
    <t>F949984459339267</t>
  </si>
  <si>
    <t>黎文香</t>
  </si>
  <si>
    <t>周文其,周鑫玲,黎文香,周鑫瑞</t>
  </si>
  <si>
    <t>F950009759495289</t>
  </si>
  <si>
    <t>王邦富</t>
  </si>
  <si>
    <t>王邦富,俄雷阿千</t>
  </si>
  <si>
    <t>F950009886370639</t>
  </si>
  <si>
    <t>任福秀</t>
  </si>
  <si>
    <t>谢欣雨,谢小全,任福秀</t>
  </si>
  <si>
    <t>F950011347933383</t>
  </si>
  <si>
    <t>陈守富</t>
  </si>
  <si>
    <t>F950011481839308</t>
  </si>
  <si>
    <t>吴晏芳</t>
  </si>
  <si>
    <t>吴晏芳,张秀英,周孟</t>
  </si>
  <si>
    <t>F950013324027162</t>
  </si>
  <si>
    <t>丁元珍</t>
  </si>
  <si>
    <t>F950015014026970</t>
  </si>
  <si>
    <t>李月前</t>
  </si>
  <si>
    <t>F950015136526563</t>
  </si>
  <si>
    <t>丁明英</t>
  </si>
  <si>
    <t>F950020299339389</t>
  </si>
  <si>
    <t>肖伟</t>
  </si>
  <si>
    <t>吴俊承,吴佳莉,肖伟</t>
  </si>
  <si>
    <t>F950020483558455</t>
  </si>
  <si>
    <t>戢廷春</t>
  </si>
  <si>
    <t>汪福华,戢廷春,汪艺函,汪洋</t>
  </si>
  <si>
    <t>F950020512776737</t>
  </si>
  <si>
    <t>金付珍</t>
  </si>
  <si>
    <t>F950020758089180</t>
  </si>
  <si>
    <t>李金凤</t>
  </si>
  <si>
    <t>王邦云,王棋鹏,王雪梦,李金凤,王邦其</t>
  </si>
  <si>
    <t>F950025831683312</t>
  </si>
  <si>
    <t>何国珍</t>
  </si>
  <si>
    <t>F950027880120811</t>
  </si>
  <si>
    <t>彭林清</t>
  </si>
  <si>
    <t>宋子分,彭林清,彭云强</t>
  </si>
  <si>
    <t>F950027910589646</t>
  </si>
  <si>
    <t>牟兴田</t>
  </si>
  <si>
    <t>牟伟,牟兴田</t>
  </si>
  <si>
    <t>F950028566995504</t>
  </si>
  <si>
    <t>申素华</t>
  </si>
  <si>
    <t>F950029990433071</t>
  </si>
  <si>
    <t>刘元清</t>
  </si>
  <si>
    <t>F950030057151934</t>
  </si>
  <si>
    <t>王国安</t>
  </si>
  <si>
    <t>F950030112308157</t>
  </si>
  <si>
    <t>伍世英</t>
  </si>
  <si>
    <t>王剑,伍世英</t>
  </si>
  <si>
    <t>F950030448089219</t>
  </si>
  <si>
    <t>丁明兴</t>
  </si>
  <si>
    <t>眭桂平,丁明兴,丁加文</t>
  </si>
  <si>
    <t>F950031828402170</t>
  </si>
  <si>
    <t>马国英</t>
  </si>
  <si>
    <t>马国英,罗元伟</t>
  </si>
  <si>
    <t>F950032225432783</t>
  </si>
  <si>
    <t>王化芝</t>
  </si>
  <si>
    <t>王化芝,黄可生,黄文龙</t>
  </si>
  <si>
    <t>F950034226370779</t>
  </si>
  <si>
    <t>罗廷章</t>
  </si>
  <si>
    <t>F950034336526737</t>
  </si>
  <si>
    <t>姜光碧</t>
  </si>
  <si>
    <t>F950036046995929</t>
  </si>
  <si>
    <t>吉德芝</t>
  </si>
  <si>
    <t>F950036388245364</t>
  </si>
  <si>
    <t>王国华</t>
  </si>
  <si>
    <t>F950038099026872</t>
  </si>
  <si>
    <t>吴胜兵</t>
  </si>
  <si>
    <t>F950038486527067</t>
  </si>
  <si>
    <t>汪桃珍</t>
  </si>
  <si>
    <t>F950040401527247</t>
  </si>
  <si>
    <t>曾光凤</t>
  </si>
  <si>
    <t>F950040446370459</t>
  </si>
  <si>
    <t>曾琳</t>
  </si>
  <si>
    <t>曾彬,曾琳</t>
  </si>
  <si>
    <t>F950041871058359</t>
  </si>
  <si>
    <t>牟兴秀</t>
  </si>
  <si>
    <t>F950042110901797</t>
  </si>
  <si>
    <t>杨绍云</t>
  </si>
  <si>
    <t>F950042416526788</t>
  </si>
  <si>
    <t>李虹佳</t>
  </si>
  <si>
    <t>F950042564495703</t>
  </si>
  <si>
    <t>黄真友</t>
  </si>
  <si>
    <t>黄真友,黄真贵</t>
  </si>
  <si>
    <t>F950042851214361</t>
  </si>
  <si>
    <t>吴胜伦</t>
  </si>
  <si>
    <t>吴胜伦,方仲桃</t>
  </si>
  <si>
    <t>F950042899964466</t>
  </si>
  <si>
    <t>王福伦</t>
  </si>
  <si>
    <t>F950043063558172</t>
  </si>
  <si>
    <t>卢泽富</t>
  </si>
  <si>
    <t>王国芳,卢强,卢泽富,卢朝书</t>
  </si>
  <si>
    <t>F950044171370828</t>
  </si>
  <si>
    <t>罗顺林</t>
  </si>
  <si>
    <t>F950044524339443</t>
  </si>
  <si>
    <t>卢泽会</t>
  </si>
  <si>
    <t>卢泽会,丁明招,丁宸</t>
  </si>
  <si>
    <t>F950044579495752</t>
  </si>
  <si>
    <t>朱银珍</t>
  </si>
  <si>
    <t>F156025934969636</t>
  </si>
  <si>
    <t>朝阳村委会</t>
  </si>
  <si>
    <t>代子荣</t>
  </si>
  <si>
    <t>F212446165715764</t>
  </si>
  <si>
    <t>王化珍</t>
  </si>
  <si>
    <t>王化珍,李萌熙,李康</t>
  </si>
  <si>
    <t>F212454118337471</t>
  </si>
  <si>
    <t>吴训清</t>
  </si>
  <si>
    <t>杨伟,吴训清,吴鹏</t>
  </si>
  <si>
    <t>F263508244659333</t>
  </si>
  <si>
    <t>阿本巫牛</t>
  </si>
  <si>
    <t>黄强,阿本巫牛,黄旭琴</t>
  </si>
  <si>
    <t>F364604333412924</t>
  </si>
  <si>
    <t>何雄</t>
  </si>
  <si>
    <t>F576308927048584</t>
  </si>
  <si>
    <t>李书秀</t>
  </si>
  <si>
    <t>刘俊成,刘虹霞,李书秀</t>
  </si>
  <si>
    <t>F949982215433299</t>
  </si>
  <si>
    <t>谢明洲</t>
  </si>
  <si>
    <t>F949982392776985</t>
  </si>
  <si>
    <t>刘应安</t>
  </si>
  <si>
    <t>F949984097152041</t>
  </si>
  <si>
    <t>丁荣富</t>
  </si>
  <si>
    <t>刘明珍,丁荣富</t>
  </si>
  <si>
    <t>F949984315433447</t>
  </si>
  <si>
    <t>曹利琼</t>
  </si>
  <si>
    <t>F950013658557876</t>
  </si>
  <si>
    <t>刘银珍</t>
  </si>
  <si>
    <t>余长敏,黄三洋,刘银珍,余心唯</t>
  </si>
  <si>
    <t>F950016743557791</t>
  </si>
  <si>
    <t>刘太富</t>
  </si>
  <si>
    <t>刘平园,刘太富,彭德芬</t>
  </si>
  <si>
    <t>F950018767776976</t>
  </si>
  <si>
    <t>徐友林</t>
  </si>
  <si>
    <t>F950020284964170</t>
  </si>
  <si>
    <t>李书科</t>
  </si>
  <si>
    <t>杨文容,何学芝,李书科</t>
  </si>
  <si>
    <t>F950020396370896</t>
  </si>
  <si>
    <t>王叶贵</t>
  </si>
  <si>
    <t>黄元英,王叶贵,王健操,王应惠</t>
  </si>
  <si>
    <t>F950022327308411</t>
  </si>
  <si>
    <t>何旭金</t>
  </si>
  <si>
    <t>F950022774026749</t>
  </si>
  <si>
    <t>周强</t>
  </si>
  <si>
    <t>F950024179339583</t>
  </si>
  <si>
    <t>王亮</t>
  </si>
  <si>
    <t>王聪,王亮,王婷婷</t>
  </si>
  <si>
    <t>F950024706995703</t>
  </si>
  <si>
    <t>李万贵</t>
  </si>
  <si>
    <t>F950026003401586</t>
  </si>
  <si>
    <t>林以淑,邱荣彬,邱远林,邱兴贵,邱苡冉</t>
  </si>
  <si>
    <t>F950026566996264</t>
  </si>
  <si>
    <t>陈光元</t>
  </si>
  <si>
    <t>陈龙,陈浩,陈光元</t>
  </si>
  <si>
    <t>F950027781995419</t>
  </si>
  <si>
    <t>雷正芝</t>
  </si>
  <si>
    <t>F950028963558275</t>
  </si>
  <si>
    <t>黄可芝</t>
  </si>
  <si>
    <t>F950030265745658</t>
  </si>
  <si>
    <t>代支华</t>
  </si>
  <si>
    <t>代支华,吴训红,吴思妹,吴子昆</t>
  </si>
  <si>
    <t>F950032995120688</t>
  </si>
  <si>
    <t>王林香</t>
  </si>
  <si>
    <t>王林香,张南珍,王坤</t>
  </si>
  <si>
    <t>F950033886683216</t>
  </si>
  <si>
    <t>周福珍</t>
  </si>
  <si>
    <t>F950034148248912</t>
  </si>
  <si>
    <t>罗云清</t>
  </si>
  <si>
    <t>F950034452620432</t>
  </si>
  <si>
    <t>郑波</t>
  </si>
  <si>
    <t>F950034456057869</t>
  </si>
  <si>
    <t>李福芝</t>
  </si>
  <si>
    <t>F950036171682850</t>
  </si>
  <si>
    <t>李明华</t>
  </si>
  <si>
    <t>李学轮,李明华</t>
  </si>
  <si>
    <t>F950036528558474</t>
  </si>
  <si>
    <t>F950038502464857</t>
  </si>
  <si>
    <t>王安坤</t>
  </si>
  <si>
    <t>F950040538870355</t>
  </si>
  <si>
    <t>刘连香</t>
  </si>
  <si>
    <t>F950042550589655</t>
  </si>
  <si>
    <t>江中秀</t>
  </si>
  <si>
    <t>张平,张旭,江中秀</t>
  </si>
  <si>
    <t>F950042594808398</t>
  </si>
  <si>
    <t>冯忠贵</t>
  </si>
  <si>
    <t>王英,冯楷,王化荣,冯忠贵,冯文,冯楠,冯杨</t>
  </si>
  <si>
    <t>F950043247777256</t>
  </si>
  <si>
    <t>谢孔金</t>
  </si>
  <si>
    <t>F950043356839381</t>
  </si>
  <si>
    <t>王育贵</t>
  </si>
  <si>
    <t>F950043981214580</t>
  </si>
  <si>
    <t>周光林</t>
  </si>
  <si>
    <t>F950044555276916</t>
  </si>
  <si>
    <t>方忠秀</t>
  </si>
  <si>
    <t>F950044664651855</t>
  </si>
  <si>
    <t>蔺成银</t>
  </si>
  <si>
    <t>F997872626083499</t>
  </si>
  <si>
    <t>倪树云</t>
  </si>
  <si>
    <t>F997883548711510</t>
  </si>
  <si>
    <t>黄元凤</t>
  </si>
  <si>
    <t>F683362075415981</t>
  </si>
  <si>
    <t>珠溪村委会</t>
  </si>
  <si>
    <t>杨福友</t>
  </si>
  <si>
    <t>杨福友,李翠华</t>
  </si>
  <si>
    <t>F710212147698372</t>
  </si>
  <si>
    <t>黄银军</t>
  </si>
  <si>
    <t>黄银军,黄逸宣,吴明兴,黄俐蒙</t>
  </si>
  <si>
    <t>F949982049026971</t>
  </si>
  <si>
    <t>廖书友</t>
  </si>
  <si>
    <t>F949982176214772</t>
  </si>
  <si>
    <t>税忠富</t>
  </si>
  <si>
    <t>F950009721683199</t>
  </si>
  <si>
    <t>F950011780276693</t>
  </si>
  <si>
    <t>刘顺华</t>
  </si>
  <si>
    <t>F950014990277330</t>
  </si>
  <si>
    <t>黄泽忠</t>
  </si>
  <si>
    <t>黄泽忠,黄明霞</t>
  </si>
  <si>
    <t>F950015340120508</t>
  </si>
  <si>
    <t>刘照祥</t>
  </si>
  <si>
    <t>刘照祥,王邦英</t>
  </si>
  <si>
    <t>F950015789965126</t>
  </si>
  <si>
    <t>杨应安</t>
  </si>
  <si>
    <t>杨应安,张大英</t>
  </si>
  <si>
    <t>F950016789651850</t>
  </si>
  <si>
    <t>张润莲</t>
  </si>
  <si>
    <t>F950018593558336</t>
  </si>
  <si>
    <t>李翠香</t>
  </si>
  <si>
    <t>F950020503245906</t>
  </si>
  <si>
    <t>陈光华</t>
  </si>
  <si>
    <t>F950024361995924</t>
  </si>
  <si>
    <t>张银秀</t>
  </si>
  <si>
    <t>F950024399651533</t>
  </si>
  <si>
    <t>帅云华</t>
  </si>
  <si>
    <t>F950026018089208</t>
  </si>
  <si>
    <t>刘世根</t>
  </si>
  <si>
    <t>F950026385902032</t>
  </si>
  <si>
    <t>蒋志富</t>
  </si>
  <si>
    <t>卿立贵,蒋安钱,蒋志富</t>
  </si>
  <si>
    <t>F950028175433224</t>
  </si>
  <si>
    <t>王富凤</t>
  </si>
  <si>
    <t>F950028980276785</t>
  </si>
  <si>
    <t>黄厚明</t>
  </si>
  <si>
    <t>黄厚明,黄家顺,钟真玉,黄家宏,黄成东,黄成富</t>
  </si>
  <si>
    <t>F950029920276987</t>
  </si>
  <si>
    <t>张大万</t>
  </si>
  <si>
    <t>张莉丹,钟福书,张大万,张惠,张德贵</t>
  </si>
  <si>
    <t>F950030109183323</t>
  </si>
  <si>
    <t>童兴珍</t>
  </si>
  <si>
    <t>F950032409183200</t>
  </si>
  <si>
    <t>侯正富</t>
  </si>
  <si>
    <t>侯正富,张大全,侯天福</t>
  </si>
  <si>
    <t>F950033114964622</t>
  </si>
  <si>
    <t>钟福秀</t>
  </si>
  <si>
    <t>F950033136057910</t>
  </si>
  <si>
    <t>邓国云</t>
  </si>
  <si>
    <t>邓炳清,邓国云</t>
  </si>
  <si>
    <t>F950033915276580</t>
  </si>
  <si>
    <t>刘玉华</t>
  </si>
  <si>
    <t>赵凤珍,刘玉华</t>
  </si>
  <si>
    <t>F950034952466091</t>
  </si>
  <si>
    <t>汪礼华</t>
  </si>
  <si>
    <t>F950036364964228</t>
  </si>
  <si>
    <t>宋再兴</t>
  </si>
  <si>
    <t>F950036882152206</t>
  </si>
  <si>
    <t>何利珍</t>
  </si>
  <si>
    <t>冷佳丽,何利珍</t>
  </si>
  <si>
    <t>F950037759183424</t>
  </si>
  <si>
    <t>杨昌秀</t>
  </si>
  <si>
    <t>杨昌秀,张德龙,张佳明,杨朝香,张楠玲</t>
  </si>
  <si>
    <t>F950038352308168</t>
  </si>
  <si>
    <t>蒋安贵</t>
  </si>
  <si>
    <t>蒋安贵,蒋丽娟</t>
  </si>
  <si>
    <t>F950039213558401</t>
  </si>
  <si>
    <t>刘辛</t>
  </si>
  <si>
    <t>F950042962933548</t>
  </si>
  <si>
    <t>邱昌华</t>
  </si>
  <si>
    <t>F950043311526848</t>
  </si>
  <si>
    <t>李连芝</t>
  </si>
  <si>
    <t>F950043317308103</t>
  </si>
  <si>
    <t>梁玉兴</t>
  </si>
  <si>
    <t>梁银,梁玉兴</t>
  </si>
  <si>
    <t>F950043331058273</t>
  </si>
  <si>
    <t>朱忠秀</t>
  </si>
  <si>
    <t>F950044441995679</t>
  </si>
  <si>
    <t>赵东升</t>
  </si>
  <si>
    <t>赵东升,赵琳</t>
  </si>
  <si>
    <t>F997875078282598</t>
  </si>
  <si>
    <t>吴文</t>
  </si>
  <si>
    <t>吴昌静,文兴亮,吴文</t>
  </si>
  <si>
    <t>F215110349622133</t>
  </si>
  <si>
    <t>红桥村委会</t>
  </si>
  <si>
    <t>唐科田</t>
  </si>
  <si>
    <t>唐燕林,唐科田,唐崇川</t>
  </si>
  <si>
    <t>F527814794499852</t>
  </si>
  <si>
    <t>何行香</t>
  </si>
  <si>
    <t>张锐,何行香,张龙滔</t>
  </si>
  <si>
    <t>F545076289070300</t>
  </si>
  <si>
    <t>胡昌义</t>
  </si>
  <si>
    <t>F561409020351690</t>
  </si>
  <si>
    <t>陈义珍</t>
  </si>
  <si>
    <t>F735025894519706</t>
  </si>
  <si>
    <t>杜福娥</t>
  </si>
  <si>
    <t>杜福娥,刘家友,刘路,刘家清</t>
  </si>
  <si>
    <t>F948290842099634</t>
  </si>
  <si>
    <t>王安友</t>
  </si>
  <si>
    <t>王安友,李世香,李万海,李诗语</t>
  </si>
  <si>
    <t>F948373921696397</t>
  </si>
  <si>
    <t>唐田</t>
  </si>
  <si>
    <t>唐宇辰,王承秀,唐嘉玲,唐登强,唐田,唐梓涵</t>
  </si>
  <si>
    <t>F948376716337753</t>
  </si>
  <si>
    <t>F949982085277019</t>
  </si>
  <si>
    <t>刘光满</t>
  </si>
  <si>
    <t>F949984410901916</t>
  </si>
  <si>
    <t>王桂珍</t>
  </si>
  <si>
    <t>王桂珍,肖良勇,肖辉</t>
  </si>
  <si>
    <t>F949986096839288</t>
  </si>
  <si>
    <t>唐登祥</t>
  </si>
  <si>
    <t>F950009633557865</t>
  </si>
  <si>
    <t>陈素兵</t>
  </si>
  <si>
    <t>陈素兵,陈金巧</t>
  </si>
  <si>
    <t>F950011572933046</t>
  </si>
  <si>
    <t>周光明</t>
  </si>
  <si>
    <t>F950011623245897</t>
  </si>
  <si>
    <t>赖正芝</t>
  </si>
  <si>
    <t>F950012859495940</t>
  </si>
  <si>
    <t>吕世金</t>
  </si>
  <si>
    <t>F950013142777042</t>
  </si>
  <si>
    <t>吕光富</t>
  </si>
  <si>
    <t>张兰宣,吕光富</t>
  </si>
  <si>
    <t>F950013542151808</t>
  </si>
  <si>
    <t>F950013651683087</t>
  </si>
  <si>
    <t>向国秀</t>
  </si>
  <si>
    <t>F950016794964283</t>
  </si>
  <si>
    <t>刘承清</t>
  </si>
  <si>
    <t>F950016868714357</t>
  </si>
  <si>
    <t>龙友珍</t>
  </si>
  <si>
    <t>F950018312307959</t>
  </si>
  <si>
    <t>余兴秀</t>
  </si>
  <si>
    <t>余兴秀,胡全华</t>
  </si>
  <si>
    <t>F950018531995729</t>
  </si>
  <si>
    <t>杨宗云</t>
  </si>
  <si>
    <t>F950022373870739</t>
  </si>
  <si>
    <t>钟玉平</t>
  </si>
  <si>
    <t>F950024117776969</t>
  </si>
  <si>
    <t>吕光能</t>
  </si>
  <si>
    <t>F950024144026638</t>
  </si>
  <si>
    <t>董洪珍</t>
  </si>
  <si>
    <t>何亭妹,何烈晨,何欣怡,何烈赢,董洪珍,何乾明</t>
  </si>
  <si>
    <t>F950024150276549</t>
  </si>
  <si>
    <t>万江永</t>
  </si>
  <si>
    <t>狄世银,万江永</t>
  </si>
  <si>
    <t>F950025854495524</t>
  </si>
  <si>
    <t>杜仕炳</t>
  </si>
  <si>
    <t>F950025986058308</t>
  </si>
  <si>
    <t>董德洪</t>
  </si>
  <si>
    <t>董德洪,董洪均,董玉友</t>
  </si>
  <si>
    <t>F950026368401848</t>
  </si>
  <si>
    <t>廖明珍</t>
  </si>
  <si>
    <t>廖明珍,唐科成</t>
  </si>
  <si>
    <t>F950026739807974</t>
  </si>
  <si>
    <t>胡昌华</t>
  </si>
  <si>
    <t>胡昌华,胡红,彭安全</t>
  </si>
  <si>
    <t>F950027159026684</t>
  </si>
  <si>
    <t>左华忠</t>
  </si>
  <si>
    <t>F950029767151942</t>
  </si>
  <si>
    <t>宋诗凤</t>
  </si>
  <si>
    <t>F950030598401773</t>
  </si>
  <si>
    <t>张兴竹</t>
  </si>
  <si>
    <t>F950030984182854</t>
  </si>
  <si>
    <t>杜子兵</t>
  </si>
  <si>
    <t>吴德科,杜子兵</t>
  </si>
  <si>
    <t>F950032249183406</t>
  </si>
  <si>
    <t>张兴芝</t>
  </si>
  <si>
    <t>张兴芝,姚天福,胡容,姚心文,舍鲁妹尔,姚舒涵</t>
  </si>
  <si>
    <t>F950034154339198</t>
  </si>
  <si>
    <t>刘加莲</t>
  </si>
  <si>
    <t>F950034462152077</t>
  </si>
  <si>
    <t>蒋根秀</t>
  </si>
  <si>
    <t>F950034488245604</t>
  </si>
  <si>
    <t>唐灯荣</t>
  </si>
  <si>
    <t>F950034498089431</t>
  </si>
  <si>
    <t>龙小云</t>
  </si>
  <si>
    <t>F950034549183576</t>
  </si>
  <si>
    <t>伍华珍</t>
  </si>
  <si>
    <t>伍华珍,蒋仁富,雷光慧,蒋志刚,邱馨妍</t>
  </si>
  <si>
    <t>F950036071214139</t>
  </si>
  <si>
    <t>李福珍</t>
  </si>
  <si>
    <t>F950036919339234</t>
  </si>
  <si>
    <t>李先友</t>
  </si>
  <si>
    <t>谢伦洪,谢晓琴,周兰飘,李先友</t>
  </si>
  <si>
    <t>F950037127308256</t>
  </si>
  <si>
    <t>王富莲</t>
  </si>
  <si>
    <t>F950038240277119</t>
  </si>
  <si>
    <t>曹明凤</t>
  </si>
  <si>
    <t>曹明凤,唐品凤,唐炼,唐谢禹,谢延芳,唐子燚</t>
  </si>
  <si>
    <t>F950038367620666</t>
  </si>
  <si>
    <t>谢仁科</t>
  </si>
  <si>
    <t>F950038692777089</t>
  </si>
  <si>
    <t>叶明清</t>
  </si>
  <si>
    <t>叶明清,蒋连珍</t>
  </si>
  <si>
    <t>F950040111058241</t>
  </si>
  <si>
    <t>查翠华</t>
  </si>
  <si>
    <t>F950042211995792</t>
  </si>
  <si>
    <t>张义树</t>
  </si>
  <si>
    <t>F950042468402202</t>
  </si>
  <si>
    <t>胡德芬</t>
  </si>
  <si>
    <t>胡德芬,刘加贵</t>
  </si>
  <si>
    <t>F950042769026973</t>
  </si>
  <si>
    <t>张从芳</t>
  </si>
  <si>
    <t>王维才,张从芳,郭建军,郭睿,王维丽,郭星</t>
  </si>
  <si>
    <t>F950044287776552</t>
  </si>
  <si>
    <t>鲁道芬</t>
  </si>
  <si>
    <t>鲁道芬,刘俊宏</t>
  </si>
  <si>
    <t>F999404500540316</t>
  </si>
  <si>
    <t>杜录昌</t>
  </si>
  <si>
    <t>宛林香,杜录昌,杜珈馨</t>
  </si>
  <si>
    <t>F072489968926194</t>
  </si>
  <si>
    <t>龙宝村委会</t>
  </si>
  <si>
    <t>陈亮清</t>
  </si>
  <si>
    <t>F079106688846661</t>
  </si>
  <si>
    <t>严兴龙</t>
  </si>
  <si>
    <t>严嵩,严崇瑜,严兴龙</t>
  </si>
  <si>
    <t>F209738569564312</t>
  </si>
  <si>
    <t>朱国英</t>
  </si>
  <si>
    <t>F244762388529765</t>
  </si>
  <si>
    <t>向国珍</t>
  </si>
  <si>
    <t>向国珍,胡克均</t>
  </si>
  <si>
    <t>F259756268586332</t>
  </si>
  <si>
    <t>严兴秀</t>
  </si>
  <si>
    <t>袁正富,严兴秀</t>
  </si>
  <si>
    <t>F285613195631548</t>
  </si>
  <si>
    <t>陈明金</t>
  </si>
  <si>
    <t>F604365359787810</t>
  </si>
  <si>
    <t>黄举富</t>
  </si>
  <si>
    <t>王凤珍,黄举富</t>
  </si>
  <si>
    <t>F940872936008427</t>
  </si>
  <si>
    <t>罗仁</t>
  </si>
  <si>
    <t>F949982190277111</t>
  </si>
  <si>
    <t>胡跃春</t>
  </si>
  <si>
    <t>胡跃春,胡强,罗桂华,胡一</t>
  </si>
  <si>
    <t>F949984280589680</t>
  </si>
  <si>
    <t>汤光容</t>
  </si>
  <si>
    <t>李俊,汤光容</t>
  </si>
  <si>
    <t>F949986071371102</t>
  </si>
  <si>
    <t>张才红</t>
  </si>
  <si>
    <t>F950009762464473</t>
  </si>
  <si>
    <t>罗天英</t>
  </si>
  <si>
    <t>F950013299183155</t>
  </si>
  <si>
    <t>曹永珍</t>
  </si>
  <si>
    <t>F950013517932867</t>
  </si>
  <si>
    <t>蒋天华</t>
  </si>
  <si>
    <t>F950013681683002</t>
  </si>
  <si>
    <t>李富秀</t>
  </si>
  <si>
    <t>F950014411683428</t>
  </si>
  <si>
    <t>伍中芬</t>
  </si>
  <si>
    <t>李冰麟,周其香,伍中芬</t>
  </si>
  <si>
    <t>F950014464964731</t>
  </si>
  <si>
    <t>宋芯宇</t>
  </si>
  <si>
    <t>F950020506370737</t>
  </si>
  <si>
    <t>F950024170120390</t>
  </si>
  <si>
    <t>王应香</t>
  </si>
  <si>
    <t>F950024396839369</t>
  </si>
  <si>
    <t>向友莲</t>
  </si>
  <si>
    <t>F950024670432868</t>
  </si>
  <si>
    <t>戴素芬</t>
  </si>
  <si>
    <t>F950024806995754</t>
  </si>
  <si>
    <t>刘加贵</t>
  </si>
  <si>
    <t>F950025865120570</t>
  </si>
  <si>
    <t>黄仕富</t>
  </si>
  <si>
    <t>F950026300745533</t>
  </si>
  <si>
    <t>钟桂珍</t>
  </si>
  <si>
    <t>钟桂珍,罗世珍,罗明富,罗华军</t>
  </si>
  <si>
    <t>F950026345120587</t>
  </si>
  <si>
    <t>张九莲</t>
  </si>
  <si>
    <t>张九莲,王国友</t>
  </si>
  <si>
    <t>F950026353714697</t>
  </si>
  <si>
    <t>肖文炳</t>
  </si>
  <si>
    <t>肖文炳,肖宣亮</t>
  </si>
  <si>
    <t>F950026908714431</t>
  </si>
  <si>
    <t>孙耀辉</t>
  </si>
  <si>
    <t>F950027046526741</t>
  </si>
  <si>
    <t>穆忠明</t>
  </si>
  <si>
    <t>F950027942308108</t>
  </si>
  <si>
    <t>刘永芝</t>
  </si>
  <si>
    <t>沈立忠,刘永芝</t>
  </si>
  <si>
    <t>F950028078714735</t>
  </si>
  <si>
    <t>王宗文</t>
  </si>
  <si>
    <t>F950028219808260</t>
  </si>
  <si>
    <t>赵继贵</t>
  </si>
  <si>
    <t>赵继贵,赵起刚</t>
  </si>
  <si>
    <t>F950029817464425</t>
  </si>
  <si>
    <t>宋中莲</t>
  </si>
  <si>
    <t>宋中莲,黄仕友,黄韦川,吕廷方</t>
  </si>
  <si>
    <t>F950029900745516</t>
  </si>
  <si>
    <t>刘永昌</t>
  </si>
  <si>
    <t>F950029983557783</t>
  </si>
  <si>
    <t>范定枢</t>
  </si>
  <si>
    <t>F950031019495726</t>
  </si>
  <si>
    <t>徐桂华</t>
  </si>
  <si>
    <t>徐桂华,朱发明,朱绣瑛</t>
  </si>
  <si>
    <t>F950031072152324</t>
  </si>
  <si>
    <t>张桂昌</t>
  </si>
  <si>
    <t>王银凤,张桂昌</t>
  </si>
  <si>
    <t>F950031211057915</t>
  </si>
  <si>
    <t>李根红</t>
  </si>
  <si>
    <t>F950032487620696</t>
  </si>
  <si>
    <t>何国昌</t>
  </si>
  <si>
    <t>何国昌,吕光兰,何沁</t>
  </si>
  <si>
    <t>F950033747776961</t>
  </si>
  <si>
    <t>黄银贵</t>
  </si>
  <si>
    <t>F950035100589364</t>
  </si>
  <si>
    <t>王忠玉</t>
  </si>
  <si>
    <t>F950035899027268</t>
  </si>
  <si>
    <t>王荣贵</t>
  </si>
  <si>
    <t>王荣贵,王福香</t>
  </si>
  <si>
    <t>F950036217620607</t>
  </si>
  <si>
    <t>伍家辉</t>
  </si>
  <si>
    <t>伍荣才,伍家辉</t>
  </si>
  <si>
    <t>F950038569808128</t>
  </si>
  <si>
    <t>鲁荣华</t>
  </si>
  <si>
    <t>F950038984027007</t>
  </si>
  <si>
    <t>罗朝安</t>
  </si>
  <si>
    <t>F950040087464442</t>
  </si>
  <si>
    <t>蒋天玉</t>
  </si>
  <si>
    <t>蒋天玉,蒋兴红,蒋玉珠</t>
  </si>
  <si>
    <t>F950040479027013</t>
  </si>
  <si>
    <t>刘永香</t>
  </si>
  <si>
    <t>F950040684496291</t>
  </si>
  <si>
    <t>赖成芳</t>
  </si>
  <si>
    <t>F950040853871145</t>
  </si>
  <si>
    <t>沈立全</t>
  </si>
  <si>
    <t>F950041004965022</t>
  </si>
  <si>
    <t>罗绍全</t>
  </si>
  <si>
    <t>罗春艳,罗绍全,李朝香</t>
  </si>
  <si>
    <t>F950043153870453</t>
  </si>
  <si>
    <t>张加祥</t>
  </si>
  <si>
    <t>张加祥,欧永珍</t>
  </si>
  <si>
    <t>F950043302152369</t>
  </si>
  <si>
    <t>陶德秀</t>
  </si>
  <si>
    <t>F950044779041300</t>
  </si>
  <si>
    <t>张崇银</t>
  </si>
  <si>
    <t>张崇银,夏玉枝</t>
  </si>
  <si>
    <t>F950044904964953</t>
  </si>
  <si>
    <t>曾莲芝</t>
  </si>
  <si>
    <t>王天赐,曾莲芝</t>
  </si>
  <si>
    <t>F951680557464489</t>
  </si>
  <si>
    <t>侯学方</t>
  </si>
  <si>
    <t>侯学方,黄晓琴</t>
  </si>
  <si>
    <t>F951689255120768</t>
  </si>
  <si>
    <t>李常贵</t>
  </si>
  <si>
    <t>李强,李常贵,李平</t>
  </si>
  <si>
    <t>F604354346037822</t>
  </si>
  <si>
    <t>回龙村委会</t>
  </si>
  <si>
    <t>杨学梅</t>
  </si>
  <si>
    <t>叶佳瑞,叶佳玮,杨学梅</t>
  </si>
  <si>
    <t>F813635246405358</t>
  </si>
  <si>
    <t>唐友明</t>
  </si>
  <si>
    <t>唐友明,邹兴贵</t>
  </si>
  <si>
    <t>F949982108245794</t>
  </si>
  <si>
    <t>舒清秀</t>
  </si>
  <si>
    <t>张洪银,张洪太,舒清秀</t>
  </si>
  <si>
    <t>F949986059808476</t>
  </si>
  <si>
    <t>邹兴文</t>
  </si>
  <si>
    <t>邹兴文,邹波</t>
  </si>
  <si>
    <t>F949990108870504</t>
  </si>
  <si>
    <t>余荣</t>
  </si>
  <si>
    <t>余荣,余德超</t>
  </si>
  <si>
    <t>F950009645120387</t>
  </si>
  <si>
    <t>魏华兵</t>
  </si>
  <si>
    <t>魏荣锋,陈兴芝,魏华兵,魏林,黄英</t>
  </si>
  <si>
    <t>F950013648715089</t>
  </si>
  <si>
    <t>李富俊</t>
  </si>
  <si>
    <t>李富俊,李贵强</t>
  </si>
  <si>
    <t>F950014406214244</t>
  </si>
  <si>
    <t>黄后珍</t>
  </si>
  <si>
    <t>F950014590277055</t>
  </si>
  <si>
    <t>王廷兴</t>
  </si>
  <si>
    <t>F950014605120822</t>
  </si>
  <si>
    <t>肖永汉</t>
  </si>
  <si>
    <t>F950014628401975</t>
  </si>
  <si>
    <t>王元安</t>
  </si>
  <si>
    <t>F950014743870911</t>
  </si>
  <si>
    <t>李贵冲</t>
  </si>
  <si>
    <t>李小磊,李富贵,李云杰,李贵冲,邹勤</t>
  </si>
  <si>
    <t>F950014947464406</t>
  </si>
  <si>
    <t>F950015060276851</t>
  </si>
  <si>
    <t>王进才</t>
  </si>
  <si>
    <t>唐银珍,王进才,王进芬,冯松珍,王艺冉</t>
  </si>
  <si>
    <t>F950015221214823</t>
  </si>
  <si>
    <t>罗绍珍</t>
  </si>
  <si>
    <t>F950015640745660</t>
  </si>
  <si>
    <t>陈忠才</t>
  </si>
  <si>
    <t>陈忠才,陈诗源</t>
  </si>
  <si>
    <t>F950016429027037</t>
  </si>
  <si>
    <t>李贤明</t>
  </si>
  <si>
    <t>李龙,李佳怡,吴胜先,李贤明,彭英</t>
  </si>
  <si>
    <t>F950016512621150</t>
  </si>
  <si>
    <t>饶宗秀</t>
  </si>
  <si>
    <t>F950018683401883</t>
  </si>
  <si>
    <t>刘绍珍</t>
  </si>
  <si>
    <t>F950024120277107</t>
  </si>
  <si>
    <t>郭洪珍</t>
  </si>
  <si>
    <t>F950024347620818</t>
  </si>
  <si>
    <t>李富英</t>
  </si>
  <si>
    <t>李富英,张利</t>
  </si>
  <si>
    <t>F950025844652082</t>
  </si>
  <si>
    <t>文云华</t>
  </si>
  <si>
    <t>F950025908401882</t>
  </si>
  <si>
    <t>刘天福</t>
  </si>
  <si>
    <t>张德珍,刘天福</t>
  </si>
  <si>
    <t>F950027105433347</t>
  </si>
  <si>
    <t>李富珍</t>
  </si>
  <si>
    <t>F950027770277575</t>
  </si>
  <si>
    <t>李富和</t>
  </si>
  <si>
    <t>袁国珍,李云强,李富和,李贵荣</t>
  </si>
  <si>
    <t>F950027896995530</t>
  </si>
  <si>
    <t>吴世贵</t>
  </si>
  <si>
    <t>F950028694183153</t>
  </si>
  <si>
    <t>文永林</t>
  </si>
  <si>
    <t>文艳,文永林</t>
  </si>
  <si>
    <t>F950028874339215</t>
  </si>
  <si>
    <t>陈安福</t>
  </si>
  <si>
    <t>陈安福,陈文凡,陈康妹</t>
  </si>
  <si>
    <t>F950030186527001</t>
  </si>
  <si>
    <t>冯松芝</t>
  </si>
  <si>
    <t>刘旭梅,冯松芝</t>
  </si>
  <si>
    <t>F950031059339639</t>
  </si>
  <si>
    <t>李兴鹏</t>
  </si>
  <si>
    <t>F950031910902255</t>
  </si>
  <si>
    <t>陈啟银</t>
  </si>
  <si>
    <t>刘晋玉,银福珍,陈安银,陈啟银</t>
  </si>
  <si>
    <t>F950032140902052</t>
  </si>
  <si>
    <t>范兴华</t>
  </si>
  <si>
    <t>杨全英,范兴华,范超</t>
  </si>
  <si>
    <t>F950032177776528</t>
  </si>
  <si>
    <t>王贤贵</t>
  </si>
  <si>
    <t>F950032811839154</t>
  </si>
  <si>
    <t>黄加友</t>
  </si>
  <si>
    <t>F950032836370406</t>
  </si>
  <si>
    <t>张建新,王桂珍,黄举秀,张福贵</t>
  </si>
  <si>
    <t>F950033944495415</t>
  </si>
  <si>
    <t>肖代清</t>
  </si>
  <si>
    <t>肖代清,肖洁,赵孝凤</t>
  </si>
  <si>
    <t>F950034344964562</t>
  </si>
  <si>
    <t>蔺辉荣</t>
  </si>
  <si>
    <t>蔺辉荣,饶守珍</t>
  </si>
  <si>
    <t>F950034648870753</t>
  </si>
  <si>
    <t>杜之明</t>
  </si>
  <si>
    <t>F950034795589050</t>
  </si>
  <si>
    <t>李其开</t>
  </si>
  <si>
    <t>兰贵银,李从华,李其开</t>
  </si>
  <si>
    <t>F950034799026979</t>
  </si>
  <si>
    <t>吴应贵</t>
  </si>
  <si>
    <t>张洪先,吴涛,罗德珍,吴应贵,吴俐佳</t>
  </si>
  <si>
    <t>F950036223714224</t>
  </si>
  <si>
    <t>彭安华</t>
  </si>
  <si>
    <t>F950036285902087</t>
  </si>
  <si>
    <t>刘海云</t>
  </si>
  <si>
    <t>辜银珍,刘海云</t>
  </si>
  <si>
    <t>F950037166214892</t>
  </si>
  <si>
    <t>郑国英</t>
  </si>
  <si>
    <t>F950037979026832</t>
  </si>
  <si>
    <t>袁啟明</t>
  </si>
  <si>
    <t>袁啟贵,袁成英,袁啟明,王秀珍,袁卫坪,袁卫博</t>
  </si>
  <si>
    <t>F950038157151888</t>
  </si>
  <si>
    <t>刘兴秀</t>
  </si>
  <si>
    <t>F950038398089511</t>
  </si>
  <si>
    <t>肖永华</t>
  </si>
  <si>
    <t>F950038459964690</t>
  </si>
  <si>
    <t>王英</t>
  </si>
  <si>
    <t>刘晋芝,邓智恒,王英</t>
  </si>
  <si>
    <t>F950038584964819</t>
  </si>
  <si>
    <t>杨金兰</t>
  </si>
  <si>
    <t>F950038621214503</t>
  </si>
  <si>
    <t>范兴友</t>
  </si>
  <si>
    <t>F950038729183126</t>
  </si>
  <si>
    <t>李富全</t>
  </si>
  <si>
    <t>F950039782308265</t>
  </si>
  <si>
    <t>李卫</t>
  </si>
  <si>
    <t>李卫,李曜竹</t>
  </si>
  <si>
    <t>F950039788714813</t>
  </si>
  <si>
    <t>肖开华</t>
  </si>
  <si>
    <t>F950040387152136</t>
  </si>
  <si>
    <t>汪书荣</t>
  </si>
  <si>
    <t>F950040634339204</t>
  </si>
  <si>
    <t>肖文珍</t>
  </si>
  <si>
    <t>F950042803714733</t>
  </si>
  <si>
    <t>马根秀</t>
  </si>
  <si>
    <t>F950042969182886</t>
  </si>
  <si>
    <t>罗明珍</t>
  </si>
  <si>
    <t>刘洪伟,罗明珍</t>
  </si>
  <si>
    <t>F950044593089049</t>
  </si>
  <si>
    <t>张满珍</t>
  </si>
  <si>
    <t>杜之华,张满珍,杜佰坤</t>
  </si>
  <si>
    <t>F950044616057926</t>
  </si>
  <si>
    <t>蒋安洪</t>
  </si>
  <si>
    <t>F212525404934908</t>
  </si>
  <si>
    <t>天坪村委会</t>
  </si>
  <si>
    <t>刘光旭</t>
  </si>
  <si>
    <t>王顺,王晨阳,刘光旭,王云</t>
  </si>
  <si>
    <t>F237740009916274</t>
  </si>
  <si>
    <t>袁顺明</t>
  </si>
  <si>
    <t>陈德容,袁华坪,朱国召,袁顺明,袁健坤</t>
  </si>
  <si>
    <t>F238376606635487</t>
  </si>
  <si>
    <t>曾辉超</t>
  </si>
  <si>
    <t>曾辉超,曾光友,曾礼春,曾礼轩,侯正书</t>
  </si>
  <si>
    <t>F265212555189083</t>
  </si>
  <si>
    <t>张文清</t>
  </si>
  <si>
    <t>F268847344704755</t>
  </si>
  <si>
    <t>王玉华</t>
  </si>
  <si>
    <t>王吉文,李明香,王玉华,王佳鑫</t>
  </si>
  <si>
    <t>F417745364661542</t>
  </si>
  <si>
    <t>兰昌文</t>
  </si>
  <si>
    <t>兰胜连,李凤芝,兰昌文</t>
  </si>
  <si>
    <t>F498586084069970</t>
  </si>
  <si>
    <t>宋元贵</t>
  </si>
  <si>
    <t>宋元贵,王殿珍</t>
  </si>
  <si>
    <t>F576304948181288</t>
  </si>
  <si>
    <t>胡大忠</t>
  </si>
  <si>
    <t>胡大忠,钟福桃,胡乙冬,胡疏然,胡地杰</t>
  </si>
  <si>
    <t>F604363461194068</t>
  </si>
  <si>
    <t>银希华</t>
  </si>
  <si>
    <t>银希华,杨仕香</t>
  </si>
  <si>
    <t>F655023307469451</t>
  </si>
  <si>
    <t>曾光录</t>
  </si>
  <si>
    <t>曾光录,曾勇</t>
  </si>
  <si>
    <t>F674171515967956</t>
  </si>
  <si>
    <t>宋开友</t>
  </si>
  <si>
    <t>宋开友,宋开荣</t>
  </si>
  <si>
    <t>F934077566494761</t>
  </si>
  <si>
    <t>尹福芝</t>
  </si>
  <si>
    <t>尹福芝,陈俊敏,陈俊根,陈兴元</t>
  </si>
  <si>
    <t>F934078058682169</t>
  </si>
  <si>
    <t>胡永兴</t>
  </si>
  <si>
    <t>胡善银,胡泽冬,胡永兴</t>
  </si>
  <si>
    <t>F949986139964785</t>
  </si>
  <si>
    <t>李奇松</t>
  </si>
  <si>
    <t>李奇松,兰翠容</t>
  </si>
  <si>
    <t>F949988174808382</t>
  </si>
  <si>
    <t>陈才贵</t>
  </si>
  <si>
    <t>陈才贵,李桂珍</t>
  </si>
  <si>
    <t>F949988386370355</t>
  </si>
  <si>
    <t>唐兴莲</t>
  </si>
  <si>
    <t>F949989924964551</t>
  </si>
  <si>
    <t>李光明</t>
  </si>
  <si>
    <t>李光明,李学慧,余仁花,李明旭,雷培兴</t>
  </si>
  <si>
    <t>F949990300433063</t>
  </si>
  <si>
    <t>唐满珍</t>
  </si>
  <si>
    <t>F950009812464294</t>
  </si>
  <si>
    <t>李月香</t>
  </si>
  <si>
    <t>F950013182933185</t>
  </si>
  <si>
    <t>杜朝芝</t>
  </si>
  <si>
    <t>罗东,杜朝芝</t>
  </si>
  <si>
    <t>F950013509027253</t>
  </si>
  <si>
    <t>杨俊珍</t>
  </si>
  <si>
    <t>F950014717464567</t>
  </si>
  <si>
    <t>杜朝英</t>
  </si>
  <si>
    <t>F950014971995825</t>
  </si>
  <si>
    <t>王玉珍</t>
  </si>
  <si>
    <t>何朝钟,曾辉玉,何朝露,王玉珍</t>
  </si>
  <si>
    <t>F950015116526905</t>
  </si>
  <si>
    <t>兰春艳,兰昌贵</t>
  </si>
  <si>
    <t>F950015510120401</t>
  </si>
  <si>
    <t>周定才</t>
  </si>
  <si>
    <t>周定才,杨盛英</t>
  </si>
  <si>
    <t>F950016621683040</t>
  </si>
  <si>
    <t>宋世英</t>
  </si>
  <si>
    <t>F950016748714170</t>
  </si>
  <si>
    <t>罗桂英</t>
  </si>
  <si>
    <t>F950020409651968</t>
  </si>
  <si>
    <t>杜奉珈</t>
  </si>
  <si>
    <t>F950020494651747</t>
  </si>
  <si>
    <t>雷培珍</t>
  </si>
  <si>
    <t>曾辉香,胡定兴,胡丽,曾光田,雷培珍</t>
  </si>
  <si>
    <t>F950020528557963</t>
  </si>
  <si>
    <t>张文贵</t>
  </si>
  <si>
    <t>张文贵,张群,张强刚</t>
  </si>
  <si>
    <t>F950020564495543</t>
  </si>
  <si>
    <t>郑绍林</t>
  </si>
  <si>
    <t>郑绍林,郑军,郑凤银,郑源芫,何旭莲</t>
  </si>
  <si>
    <t>F950020708558006</t>
  </si>
  <si>
    <t>赵孝林</t>
  </si>
  <si>
    <t>赵思松,陈忠秀,赵孝林</t>
  </si>
  <si>
    <t>F950022505120610</t>
  </si>
  <si>
    <t>吴桃珍</t>
  </si>
  <si>
    <t>F950024225433043</t>
  </si>
  <si>
    <t>周泽云</t>
  </si>
  <si>
    <t>周泽云,周兴容,周星材,杨华香</t>
  </si>
  <si>
    <t>F950024249183388</t>
  </si>
  <si>
    <t>潘富超</t>
  </si>
  <si>
    <t>潘萍,潘富超</t>
  </si>
  <si>
    <t>F950024618089373</t>
  </si>
  <si>
    <t>曾光鑫</t>
  </si>
  <si>
    <t>F950024687933210</t>
  </si>
  <si>
    <t>何正芝</t>
  </si>
  <si>
    <t>何正芝,雷绍章,雷晓群,黄杰利,黄禹桥</t>
  </si>
  <si>
    <t>F950024735589487</t>
  </si>
  <si>
    <t>范兴芝</t>
  </si>
  <si>
    <t>F950025847464507</t>
  </si>
  <si>
    <t>罗朝凤</t>
  </si>
  <si>
    <t>F950026020589366</t>
  </si>
  <si>
    <t>胡永章</t>
  </si>
  <si>
    <t>胡永章,胡常群,何国香</t>
  </si>
  <si>
    <t>F950026141996193</t>
  </si>
  <si>
    <t>崔绍光</t>
  </si>
  <si>
    <t>F950026298245380</t>
  </si>
  <si>
    <t>伍忠孝</t>
  </si>
  <si>
    <t>曾理武,伍代香,曾辉斌,伍忠孝,魏桂芳</t>
  </si>
  <si>
    <t>F950026966057969</t>
  </si>
  <si>
    <t>梁玉凤</t>
  </si>
  <si>
    <t>F950027844964359</t>
  </si>
  <si>
    <t>黎云凤</t>
  </si>
  <si>
    <t>黎云凤,刘英</t>
  </si>
  <si>
    <t>F950028279182834</t>
  </si>
  <si>
    <t>孙加才</t>
  </si>
  <si>
    <t>孙梦灵,张银珍,孙诗婷,孙加才,孙军,罗红</t>
  </si>
  <si>
    <t>F950028953714360</t>
  </si>
  <si>
    <t>张顺香</t>
  </si>
  <si>
    <t>张顺香,张钧玮,张杰</t>
  </si>
  <si>
    <t>F950030044808404</t>
  </si>
  <si>
    <t>肖兴富</t>
  </si>
  <si>
    <t>F950030268089473</t>
  </si>
  <si>
    <t>伍代荣</t>
  </si>
  <si>
    <t>孙加秀,伍代荣</t>
  </si>
  <si>
    <t>F950030342776815</t>
  </si>
  <si>
    <t>黄显金</t>
  </si>
  <si>
    <t>F950030881527156</t>
  </si>
  <si>
    <t>王玉英</t>
  </si>
  <si>
    <t>F950031963245618</t>
  </si>
  <si>
    <t>宋加珍</t>
  </si>
  <si>
    <t>郑雖洪,宋加珍,郑鑫</t>
  </si>
  <si>
    <t>F950032612933536</t>
  </si>
  <si>
    <t>张顺兵</t>
  </si>
  <si>
    <t>张顺全,张兴华,张顺兵,张永瑞</t>
  </si>
  <si>
    <t>F950034434808096</t>
  </si>
  <si>
    <t>杨贵华</t>
  </si>
  <si>
    <t>杨贵华,刘珂伶,李凤香,刘忠富</t>
  </si>
  <si>
    <t>F950036561370512</t>
  </si>
  <si>
    <t>廖天才</t>
  </si>
  <si>
    <t>F950036861057809</t>
  </si>
  <si>
    <t>潘德明</t>
  </si>
  <si>
    <t>潘秋旭,潘德明,周国香</t>
  </si>
  <si>
    <t>F950037136527282</t>
  </si>
  <si>
    <t>崔月然</t>
  </si>
  <si>
    <t>F950037781839691</t>
  </si>
  <si>
    <t>李保珍</t>
  </si>
  <si>
    <t>孙加吉,孙肖,李保珍,孙江</t>
  </si>
  <si>
    <t>F950037884339786</t>
  </si>
  <si>
    <t>郑炳珍</t>
  </si>
  <si>
    <t>F950037932308052</t>
  </si>
  <si>
    <t>喻如桃</t>
  </si>
  <si>
    <t>F950038516526768</t>
  </si>
  <si>
    <t>蒋志珍</t>
  </si>
  <si>
    <t>F950038629808345</t>
  </si>
  <si>
    <t>李桂芝</t>
  </si>
  <si>
    <t>胡定贵,胡定全,胡惠嘉,李桂芝,胡代林</t>
  </si>
  <si>
    <t>F950038649339064</t>
  </si>
  <si>
    <t>谢明秀</t>
  </si>
  <si>
    <t>F950038811527304</t>
  </si>
  <si>
    <t>喻学纪</t>
  </si>
  <si>
    <t>熊啟香,喻学纪,喻梦娇</t>
  </si>
  <si>
    <t>F950039775120576</t>
  </si>
  <si>
    <t>崔双富</t>
  </si>
  <si>
    <t>崔双富,崔俊惠</t>
  </si>
  <si>
    <t>F950040139808165</t>
  </si>
  <si>
    <t>李光有</t>
  </si>
  <si>
    <t>李光有,刘贵珍</t>
  </si>
  <si>
    <t>F950040307308478</t>
  </si>
  <si>
    <t>张根莲</t>
  </si>
  <si>
    <t>F950040543714428</t>
  </si>
  <si>
    <t>王玉林</t>
  </si>
  <si>
    <t>F950040710901664</t>
  </si>
  <si>
    <t>周世全</t>
  </si>
  <si>
    <t>周永富,周会,周世全,杜瑞英</t>
  </si>
  <si>
    <t>F950042119964383</t>
  </si>
  <si>
    <t>伍忠兴</t>
  </si>
  <si>
    <t>伍忠兴,李阳芬</t>
  </si>
  <si>
    <t>F950043160277377</t>
  </si>
  <si>
    <t>周仕万</t>
  </si>
  <si>
    <t>周仕万,曾辉凤,周鑫耀,周泽华</t>
  </si>
  <si>
    <t>F950043915902233</t>
  </si>
  <si>
    <t>杜朝金</t>
  </si>
  <si>
    <t>陈桂珍,杜朝金,杜瑞贵</t>
  </si>
  <si>
    <t>F950043989027198</t>
  </si>
  <si>
    <t>曾辉贵</t>
  </si>
  <si>
    <t>黄显珍,曾辉贵,曾利峰</t>
  </si>
  <si>
    <t>F950044025120298</t>
  </si>
  <si>
    <t>曾辉福</t>
  </si>
  <si>
    <t>周国珍,王鑫渝,曾辉福,曾艳</t>
  </si>
  <si>
    <t>F950044314026813</t>
  </si>
  <si>
    <t>胡荣光</t>
  </si>
  <si>
    <t>F950044521057838</t>
  </si>
  <si>
    <t>吴贵华</t>
  </si>
  <si>
    <t>吴贵华,吴万彬,吴嘉军</t>
  </si>
  <si>
    <t>F006024163558015</t>
  </si>
  <si>
    <t>大坪村委会</t>
  </si>
  <si>
    <t>杨啟华</t>
  </si>
  <si>
    <t>杨啟华,刘永芝</t>
  </si>
  <si>
    <t>F155924268145791</t>
  </si>
  <si>
    <t>徐景春</t>
  </si>
  <si>
    <t>F215093066654017</t>
  </si>
  <si>
    <t>姚清华</t>
  </si>
  <si>
    <t>姚官银,姚语萱,姚清华,姚语欣</t>
  </si>
  <si>
    <t>F238393377728845</t>
  </si>
  <si>
    <t>冯文芳</t>
  </si>
  <si>
    <t>F460215269762719</t>
  </si>
  <si>
    <t>宋元康</t>
  </si>
  <si>
    <t>童恩瑶,童钢,童晓儒,宋元康,李秀珍</t>
  </si>
  <si>
    <t>F498582674167548</t>
  </si>
  <si>
    <t>谢仁旭</t>
  </si>
  <si>
    <t>谢仁旭,彭华珍</t>
  </si>
  <si>
    <t>F576288125652108</t>
  </si>
  <si>
    <t>付建</t>
  </si>
  <si>
    <t>付建,蒋富春,付智慧</t>
  </si>
  <si>
    <t>F655025044656820</t>
  </si>
  <si>
    <t>何玉林</t>
  </si>
  <si>
    <t>何小燕,彭安英,何玉林</t>
  </si>
  <si>
    <t>F759626303838118</t>
  </si>
  <si>
    <t>邱隆安</t>
  </si>
  <si>
    <t>李朝根,邱皓杰,邱利川,邱隆安</t>
  </si>
  <si>
    <t>F787565761250504</t>
  </si>
  <si>
    <t>宋元冬</t>
  </si>
  <si>
    <t>F787588616250550</t>
  </si>
  <si>
    <t>王志诚</t>
  </si>
  <si>
    <t>F949982233402053</t>
  </si>
  <si>
    <t>罗绍金</t>
  </si>
  <si>
    <t>F949982264651918</t>
  </si>
  <si>
    <t>方素英</t>
  </si>
  <si>
    <t>F949984158089482</t>
  </si>
  <si>
    <t>蒋秀英</t>
  </si>
  <si>
    <t>F949988371214011</t>
  </si>
  <si>
    <t>王友秀</t>
  </si>
  <si>
    <t>王友秀,吴世琴,罗云海</t>
  </si>
  <si>
    <t>F949988393089364</t>
  </si>
  <si>
    <t>李芝连</t>
  </si>
  <si>
    <t>李芝连,何双,何龙清,何荣富</t>
  </si>
  <si>
    <t>F949990117464518</t>
  </si>
  <si>
    <t>陈兴林</t>
  </si>
  <si>
    <t>F949990303714396</t>
  </si>
  <si>
    <t>赵言芳</t>
  </si>
  <si>
    <t>F950009697464197</t>
  </si>
  <si>
    <t>何学英</t>
  </si>
  <si>
    <t>何学英,李良金,吕廷刚</t>
  </si>
  <si>
    <t>F950009765276945</t>
  </si>
  <si>
    <t>刘福芝</t>
  </si>
  <si>
    <t>F950011505589919</t>
  </si>
  <si>
    <t>F950013260276763</t>
  </si>
  <si>
    <t>黄明华</t>
  </si>
  <si>
    <t>黄明华,李静莲</t>
  </si>
  <si>
    <t>F950013302308695</t>
  </si>
  <si>
    <t>王胜清</t>
  </si>
  <si>
    <t>F950013496214616</t>
  </si>
  <si>
    <t>邱绍华</t>
  </si>
  <si>
    <t>邱绍华,伍文英</t>
  </si>
  <si>
    <t>F950013583714669</t>
  </si>
  <si>
    <t>周俊富</t>
  </si>
  <si>
    <t>成金萍,周俊富</t>
  </si>
  <si>
    <t>F950013782464210</t>
  </si>
  <si>
    <t>宋元江</t>
  </si>
  <si>
    <t>宋元江,郑永香</t>
  </si>
  <si>
    <t>F950014561995313</t>
  </si>
  <si>
    <t>何朝贵</t>
  </si>
  <si>
    <t>吕元珍,何朝贵,何成梁,何成吉</t>
  </si>
  <si>
    <t>F950014580120273</t>
  </si>
  <si>
    <t>肖建平</t>
  </si>
  <si>
    <t>F950014682152056</t>
  </si>
  <si>
    <t>张玉芝</t>
  </si>
  <si>
    <t>F950015737777046</t>
  </si>
  <si>
    <t>施家玲</t>
  </si>
  <si>
    <t>施家玲,施檬佳</t>
  </si>
  <si>
    <t>F950015777933118</t>
  </si>
  <si>
    <t>杨寿恒</t>
  </si>
  <si>
    <t>杨寿恒,宋六宣</t>
  </si>
  <si>
    <t>F950016474808415</t>
  </si>
  <si>
    <t>朱银华</t>
  </si>
  <si>
    <t>赵溶,朱银华,朱洪武,朱拱骋</t>
  </si>
  <si>
    <t>F950016611682963</t>
  </si>
  <si>
    <t>李福荣</t>
  </si>
  <si>
    <t>李福荣,肖兴元,肖文艳</t>
  </si>
  <si>
    <t>F950020376527048</t>
  </si>
  <si>
    <t>吉华银</t>
  </si>
  <si>
    <t>吉龙伟,吉华银,李忠香</t>
  </si>
  <si>
    <t>F950024405745878</t>
  </si>
  <si>
    <t>陈桂香</t>
  </si>
  <si>
    <t>F950024428401881</t>
  </si>
  <si>
    <t>李知贵</t>
  </si>
  <si>
    <t>F950024851995556</t>
  </si>
  <si>
    <t>徐强,徐龙山,徐代华,姚兴秀</t>
  </si>
  <si>
    <t>F950026315745611</t>
  </si>
  <si>
    <t>曹和贵</t>
  </si>
  <si>
    <t>F950026972308380</t>
  </si>
  <si>
    <t>李知才</t>
  </si>
  <si>
    <t>李知才,郭真凤</t>
  </si>
  <si>
    <t>F950030065901945</t>
  </si>
  <si>
    <t>姚德文</t>
  </si>
  <si>
    <t>牟国香,姚德文</t>
  </si>
  <si>
    <t>F950031122307780</t>
  </si>
  <si>
    <t>毛树秀</t>
  </si>
  <si>
    <t>F950032011526968</t>
  </si>
  <si>
    <t>廖翠鲜</t>
  </si>
  <si>
    <t>廖翠鲜,王强</t>
  </si>
  <si>
    <t>F950032302464733</t>
  </si>
  <si>
    <t>李贵全</t>
  </si>
  <si>
    <t>F950032560120677</t>
  </si>
  <si>
    <t>陈绍莲</t>
  </si>
  <si>
    <t>F950034117777022</t>
  </si>
  <si>
    <t>宋家宇</t>
  </si>
  <si>
    <t>宋家旭,陈世红,宋家宇</t>
  </si>
  <si>
    <t>F950034540589725</t>
  </si>
  <si>
    <t>罗中英</t>
  </si>
  <si>
    <t>吴国全,莫瑶,罗中英,莫峻宸</t>
  </si>
  <si>
    <t>F950034575276774</t>
  </si>
  <si>
    <t>黄旭芝</t>
  </si>
  <si>
    <t>F950034946371227</t>
  </si>
  <si>
    <t>谭兴全</t>
  </si>
  <si>
    <t>F950036066370675</t>
  </si>
  <si>
    <t>刘时明</t>
  </si>
  <si>
    <t>刘惠榕,刘时明</t>
  </si>
  <si>
    <t>F950036525589669</t>
  </si>
  <si>
    <t>宋润芝</t>
  </si>
  <si>
    <t>F950036625901885</t>
  </si>
  <si>
    <t>宋世福</t>
  </si>
  <si>
    <t>F950037002308530</t>
  </si>
  <si>
    <t>李作全</t>
  </si>
  <si>
    <t>F950037717933393</t>
  </si>
  <si>
    <t>宋绍平</t>
  </si>
  <si>
    <t>彭碧君,宋绍平</t>
  </si>
  <si>
    <t>F950038358401525</t>
  </si>
  <si>
    <t>刘万珍</t>
  </si>
  <si>
    <t>杨全才,谭艳,杨全芳,杨鑫蕾,朱智君,刘万珍</t>
  </si>
  <si>
    <t>F950038597777134</t>
  </si>
  <si>
    <t>龚喜秀</t>
  </si>
  <si>
    <t>龚喜秀,彭涛,彭小龙</t>
  </si>
  <si>
    <t>F950038866370926</t>
  </si>
  <si>
    <t>吕国芝</t>
  </si>
  <si>
    <t>F950038913714632</t>
  </si>
  <si>
    <t>徐正林</t>
  </si>
  <si>
    <t>徐正林,童守芳</t>
  </si>
  <si>
    <t>F950039087933189</t>
  </si>
  <si>
    <t>胡洪平</t>
  </si>
  <si>
    <t>F950042138714097</t>
  </si>
  <si>
    <t>王定强</t>
  </si>
  <si>
    <t>王定强,王应才</t>
  </si>
  <si>
    <t>F950042597933022</t>
  </si>
  <si>
    <t>石义华</t>
  </si>
  <si>
    <t>F950042815902072</t>
  </si>
  <si>
    <t>吕国金</t>
  </si>
  <si>
    <t>吕国金,吕廷燕,王定凤</t>
  </si>
  <si>
    <t>F950043036214577</t>
  </si>
  <si>
    <t>毛树珍</t>
  </si>
  <si>
    <t>F950044799807906</t>
  </si>
  <si>
    <t>古玉芝</t>
  </si>
  <si>
    <t>郑加银,古玉芝,王应全</t>
  </si>
  <si>
    <t>F973310239442195</t>
  </si>
  <si>
    <t>姚平</t>
  </si>
  <si>
    <t>F973324837574209</t>
  </si>
  <si>
    <t>王一乐</t>
  </si>
  <si>
    <t>F037278202931830</t>
  </si>
  <si>
    <t>富强村委会</t>
  </si>
  <si>
    <t>陈洪金</t>
  </si>
  <si>
    <t>F245264230092853</t>
  </si>
  <si>
    <t>向永英</t>
  </si>
  <si>
    <t>F245269705980698</t>
  </si>
  <si>
    <t>邱瑕</t>
  </si>
  <si>
    <t>F290247731948002</t>
  </si>
  <si>
    <t>陈瑞希,陈荣</t>
  </si>
  <si>
    <t>F604392523225467</t>
  </si>
  <si>
    <t>袁进超</t>
  </si>
  <si>
    <t>龚世容,袁国强,袁进超</t>
  </si>
  <si>
    <t>F632207573304558</t>
  </si>
  <si>
    <t>胡大贵</t>
  </si>
  <si>
    <t>宋忠珍,胡大贵</t>
  </si>
  <si>
    <t>F654883704910434</t>
  </si>
  <si>
    <t>龙世容</t>
  </si>
  <si>
    <t>王方贵,龙世容,王永强</t>
  </si>
  <si>
    <t>F949982102620785</t>
  </si>
  <si>
    <t>杨方全</t>
  </si>
  <si>
    <t>F949982431995559</t>
  </si>
  <si>
    <t>阿罗坚巫</t>
  </si>
  <si>
    <t>阿罗坚巫,吴学江,吴仕兵,曾国枝</t>
  </si>
  <si>
    <t>F949984216370629</t>
  </si>
  <si>
    <t>赵言超</t>
  </si>
  <si>
    <t>F949985981683258</t>
  </si>
  <si>
    <t>谢世鑫</t>
  </si>
  <si>
    <t>F949986000902098</t>
  </si>
  <si>
    <t>陈天秀</t>
  </si>
  <si>
    <t>陈天秀,温明付</t>
  </si>
  <si>
    <t>F950009688246246</t>
  </si>
  <si>
    <t>伍成兵</t>
  </si>
  <si>
    <t>吴仁方,伍成兵</t>
  </si>
  <si>
    <t>F950011592777200</t>
  </si>
  <si>
    <t>李正六</t>
  </si>
  <si>
    <t>F950012921526623</t>
  </si>
  <si>
    <t>刘兴平</t>
  </si>
  <si>
    <t>刘兴平,陈生群</t>
  </si>
  <si>
    <t>F950013246683535</t>
  </si>
  <si>
    <t>唐银芝</t>
  </si>
  <si>
    <t>F950013472152195</t>
  </si>
  <si>
    <t>郭贻前</t>
  </si>
  <si>
    <t>F950013561995902</t>
  </si>
  <si>
    <t>肖昌权</t>
  </si>
  <si>
    <t>F950015201995408</t>
  </si>
  <si>
    <t>杨中才</t>
  </si>
  <si>
    <t>杨中才,李明珍</t>
  </si>
  <si>
    <t>F950016619183013</t>
  </si>
  <si>
    <t>向应奎</t>
  </si>
  <si>
    <t>F950020480901710</t>
  </si>
  <si>
    <t>安玉财</t>
  </si>
  <si>
    <t>向阳,向国宣,向芥委,向晋辉,安玉财</t>
  </si>
  <si>
    <t>F950020606057912</t>
  </si>
  <si>
    <t>伍友珍</t>
  </si>
  <si>
    <t>F950022616995657</t>
  </si>
  <si>
    <t>王显凤</t>
  </si>
  <si>
    <t>F950022748714701</t>
  </si>
  <si>
    <t>袁定秀</t>
  </si>
  <si>
    <t>F950022799496011</t>
  </si>
  <si>
    <t>杨能友</t>
  </si>
  <si>
    <t>F950024319964252</t>
  </si>
  <si>
    <t>邓啟英</t>
  </si>
  <si>
    <t>邓啟英,叶春延,叶晋坤,叶青怡</t>
  </si>
  <si>
    <t>F950024387308137</t>
  </si>
  <si>
    <t>杨明向</t>
  </si>
  <si>
    <t>F950025838870547</t>
  </si>
  <si>
    <t>吴桂珍</t>
  </si>
  <si>
    <t>F950026477776787</t>
  </si>
  <si>
    <t>陈洪贵</t>
  </si>
  <si>
    <t>刘永香,陈洪贵,陈仁君</t>
  </si>
  <si>
    <t>F950027156526758</t>
  </si>
  <si>
    <t>唐永忠</t>
  </si>
  <si>
    <t>唐连江,唐永忠</t>
  </si>
  <si>
    <t>F950028861995857</t>
  </si>
  <si>
    <t>刘长华</t>
  </si>
  <si>
    <t>F950029891839077</t>
  </si>
  <si>
    <t>王成连</t>
  </si>
  <si>
    <t>周俊东,王成连,周恒友,周啟华</t>
  </si>
  <si>
    <t>F950029980589835</t>
  </si>
  <si>
    <t>高永宽</t>
  </si>
  <si>
    <t>高永宽,余正芬,高军前</t>
  </si>
  <si>
    <t>F950030115277326</t>
  </si>
  <si>
    <t>芶联春</t>
  </si>
  <si>
    <t>F950030286839249</t>
  </si>
  <si>
    <t>向永枢</t>
  </si>
  <si>
    <t>龙仕芬,向永枢</t>
  </si>
  <si>
    <t>F950030302776480</t>
  </si>
  <si>
    <t>任勇</t>
  </si>
  <si>
    <t>任勇,胡显容,张明,张智博,胡显红</t>
  </si>
  <si>
    <t>F950030502933101</t>
  </si>
  <si>
    <t>李仕平</t>
  </si>
  <si>
    <t>F950032550589264</t>
  </si>
  <si>
    <t>刘永钊</t>
  </si>
  <si>
    <t>F950032746214384</t>
  </si>
  <si>
    <t>肖文英</t>
  </si>
  <si>
    <t>F950033999807908</t>
  </si>
  <si>
    <t>F950034089651904</t>
  </si>
  <si>
    <t>余友珍</t>
  </si>
  <si>
    <t>F950034156995283</t>
  </si>
  <si>
    <t>李万秀</t>
  </si>
  <si>
    <t>F950034424808257</t>
  </si>
  <si>
    <t>向永清</t>
  </si>
  <si>
    <t>向群芬,雷杨容,向永清,向国斌</t>
  </si>
  <si>
    <t>F950034659495453</t>
  </si>
  <si>
    <t>罗光莲</t>
  </si>
  <si>
    <t>罗光莲,杨加富,杨云兵,杨梅,杨昕琰</t>
  </si>
  <si>
    <t>F950034707933089</t>
  </si>
  <si>
    <t>陈洪春</t>
  </si>
  <si>
    <t>陈洪春,刘红艳,陈春宇,陈兴玉</t>
  </si>
  <si>
    <t>F950035054964302</t>
  </si>
  <si>
    <t>彭祥芬</t>
  </si>
  <si>
    <t>陈志玲,陈友路,彭祥芬</t>
  </si>
  <si>
    <t>F950035078246369</t>
  </si>
  <si>
    <t>宋秋润</t>
  </si>
  <si>
    <t>宋秋润,宋朝兴,田兴春</t>
  </si>
  <si>
    <t>F950035162464035</t>
  </si>
  <si>
    <t>郭洪光</t>
  </si>
  <si>
    <t>郭垒,郭洪光,何国文</t>
  </si>
  <si>
    <t>F950035963870509</t>
  </si>
  <si>
    <t>黄桂枝</t>
  </si>
  <si>
    <t>F950036306839367</t>
  </si>
  <si>
    <t>唐荣芝</t>
  </si>
  <si>
    <t>F950036505121005</t>
  </si>
  <si>
    <t>明天华</t>
  </si>
  <si>
    <t>F950037871214281</t>
  </si>
  <si>
    <t>F950038114339840</t>
  </si>
  <si>
    <t>何应书</t>
  </si>
  <si>
    <t>F950038289808521</t>
  </si>
  <si>
    <t>宋六银</t>
  </si>
  <si>
    <t>F950038480120825</t>
  </si>
  <si>
    <t>谭翠兰</t>
  </si>
  <si>
    <t>宋小红,谭翠兰</t>
  </si>
  <si>
    <t>F950039057152042</t>
  </si>
  <si>
    <t>王洪安</t>
  </si>
  <si>
    <t>王洪安,文龙珍</t>
  </si>
  <si>
    <t>F950039118089460</t>
  </si>
  <si>
    <t>杨博</t>
  </si>
  <si>
    <t>杨凌,杨博</t>
  </si>
  <si>
    <t>F950039765120740</t>
  </si>
  <si>
    <t>刘培桃</t>
  </si>
  <si>
    <t>刘培桃,刘向洋</t>
  </si>
  <si>
    <t>F950040759964627</t>
  </si>
  <si>
    <t>张润芝</t>
  </si>
  <si>
    <t>张润芝,吕大东,吕旻矫</t>
  </si>
  <si>
    <t>F950041861683223</t>
  </si>
  <si>
    <t>F950042021214287</t>
  </si>
  <si>
    <t>饶昌贵</t>
  </si>
  <si>
    <t>F950042290902457</t>
  </si>
  <si>
    <t>伍国弟</t>
  </si>
  <si>
    <t>F950042705589438</t>
  </si>
  <si>
    <t>费显杰</t>
  </si>
  <si>
    <t>董秋宏,费显杰,董昆富,董家利,刘光贵</t>
  </si>
  <si>
    <t>F950042726526606</t>
  </si>
  <si>
    <t>李宁</t>
  </si>
  <si>
    <t>吴裕,李钰,李万全,李登齐,李连贵,李宁</t>
  </si>
  <si>
    <t>F950042863870695</t>
  </si>
  <si>
    <t>向永朝</t>
  </si>
  <si>
    <t>向永朝,鲁明秀,向永平,向永良</t>
  </si>
  <si>
    <t>F950042921527029</t>
  </si>
  <si>
    <t>何保珍</t>
  </si>
  <si>
    <t>F950044726370629</t>
  </si>
  <si>
    <t>伍成云</t>
  </si>
  <si>
    <t>F983512172629987</t>
  </si>
  <si>
    <t>易世容</t>
  </si>
  <si>
    <t>王强,易世容,王宣,王镜</t>
  </si>
  <si>
    <t>F983528970940642</t>
  </si>
  <si>
    <t>张子恒</t>
  </si>
  <si>
    <t>F268798703923138</t>
  </si>
  <si>
    <t>桂香村委会</t>
  </si>
  <si>
    <t>王建</t>
  </si>
  <si>
    <t>王稼铭,王定枢,王建,王竣洁</t>
  </si>
  <si>
    <t>F290244138822077</t>
  </si>
  <si>
    <t>李良刚</t>
  </si>
  <si>
    <t>F316230505569519</t>
  </si>
  <si>
    <t>张开帝</t>
  </si>
  <si>
    <t>张开帝,张瀚宇,张开炳</t>
  </si>
  <si>
    <t>F545085149480147</t>
  </si>
  <si>
    <t>宋克松</t>
  </si>
  <si>
    <t>宋美林,宋美超,宋美扬,宋诗全,宋克松,邓德珍</t>
  </si>
  <si>
    <t>F604391000569105</t>
  </si>
  <si>
    <t>丁万贵</t>
  </si>
  <si>
    <t>丁万贵,伍世秀</t>
  </si>
  <si>
    <t>F711492150595041</t>
  </si>
  <si>
    <t>向石全</t>
  </si>
  <si>
    <t>冯双群,向石全,陈洪香,向国树,向语熙</t>
  </si>
  <si>
    <t>F948287102362591</t>
  </si>
  <si>
    <t>吴传贵</t>
  </si>
  <si>
    <t>吴佳鸿,吴传贵,冯云琴,吴心艺,王兴芝</t>
  </si>
  <si>
    <t>F949982246839304</t>
  </si>
  <si>
    <t>李建忠</t>
  </si>
  <si>
    <t>黄仁芝,李建忠</t>
  </si>
  <si>
    <t>F950013105276953</t>
  </si>
  <si>
    <t>张绍安</t>
  </si>
  <si>
    <t>张绍安,罗恒英</t>
  </si>
  <si>
    <t>F950013193714083</t>
  </si>
  <si>
    <t>张贵连</t>
  </si>
  <si>
    <t>谢旭芬,阳永康,欧阳章,张贵连,阳汶娟</t>
  </si>
  <si>
    <t>F950015618089515</t>
  </si>
  <si>
    <t>宋禄才</t>
  </si>
  <si>
    <t>F950015808714350</t>
  </si>
  <si>
    <t>曾国芝</t>
  </si>
  <si>
    <t>曾国芝,吴英,陈治豪,范语馨</t>
  </si>
  <si>
    <t>F950016557308434</t>
  </si>
  <si>
    <t>苏大珍</t>
  </si>
  <si>
    <t>苏大珍,陈洪兴,詹一秀,陈俊含</t>
  </si>
  <si>
    <t>F950018540901785</t>
  </si>
  <si>
    <t>宋宗林</t>
  </si>
  <si>
    <t>宋录康,宋宗林,张友珍</t>
  </si>
  <si>
    <t>F950020608402295</t>
  </si>
  <si>
    <t>杨福平</t>
  </si>
  <si>
    <t>F950020731995795</t>
  </si>
  <si>
    <t>辜祥岗</t>
  </si>
  <si>
    <t>辜祥岗,宋金芝,辜同君</t>
  </si>
  <si>
    <t>F950020767776735</t>
  </si>
  <si>
    <t>彭中荣</t>
  </si>
  <si>
    <t>彭中荣,朱明容,彭思瑶</t>
  </si>
  <si>
    <t>F950022524183052</t>
  </si>
  <si>
    <t>段莲芝</t>
  </si>
  <si>
    <t>段莲芝,谭桂田</t>
  </si>
  <si>
    <t>F950024783870715</t>
  </si>
  <si>
    <t>汪荣兴</t>
  </si>
  <si>
    <t>F950025051839182</t>
  </si>
  <si>
    <t>吴孝文</t>
  </si>
  <si>
    <t>吴孝文,余仁芝</t>
  </si>
  <si>
    <t>F950025949339762</t>
  </si>
  <si>
    <t>宋军</t>
  </si>
  <si>
    <t>宋军,宋致委,宋玲玲,江友枝</t>
  </si>
  <si>
    <t>F950026535277077</t>
  </si>
  <si>
    <t>张绍均</t>
  </si>
  <si>
    <t>张绍均,陈寿莲,张雄鑫</t>
  </si>
  <si>
    <t>F950026765589732</t>
  </si>
  <si>
    <t>余正芝</t>
  </si>
  <si>
    <t>F950027123089585</t>
  </si>
  <si>
    <t>彭祖银</t>
  </si>
  <si>
    <t>彭祖银,刘炳秀</t>
  </si>
  <si>
    <t>F950028239808180</t>
  </si>
  <si>
    <t>唐大容</t>
  </si>
  <si>
    <t>唐大容,王永香</t>
  </si>
  <si>
    <t>F950029204026952</t>
  </si>
  <si>
    <t>严兴容</t>
  </si>
  <si>
    <t>严兴容,吴杰,吴佳柱,明佳燕</t>
  </si>
  <si>
    <t>F950030089651656</t>
  </si>
  <si>
    <t>张福科</t>
  </si>
  <si>
    <t>张福科,宋禄全,张顺英,孙黄英</t>
  </si>
  <si>
    <t>F950031014026729</t>
  </si>
  <si>
    <t>杨伦英</t>
  </si>
  <si>
    <t>车有顺,车毕华,杨伦英,车国洪</t>
  </si>
  <si>
    <t>F950031192152116</t>
  </si>
  <si>
    <t>邓素芝</t>
  </si>
  <si>
    <t>邓素芝,陈健杰,刘光银,张学容</t>
  </si>
  <si>
    <t>F950032166370997</t>
  </si>
  <si>
    <t>罗忠仙</t>
  </si>
  <si>
    <t>F950032624339367</t>
  </si>
  <si>
    <t>吴中财</t>
  </si>
  <si>
    <t>F950032659964593</t>
  </si>
  <si>
    <t>鲁国华</t>
  </si>
  <si>
    <t>鲁承宇,鲁道金,鲁承星,鲁国华,袁友枝,鲁承杰</t>
  </si>
  <si>
    <t>F950033000589437</t>
  </si>
  <si>
    <t>费朝述</t>
  </si>
  <si>
    <t>吴佳,费朝述,唐友香,吴孝龙</t>
  </si>
  <si>
    <t>F950033079027082</t>
  </si>
  <si>
    <t>李贤强</t>
  </si>
  <si>
    <t>李贤强,李思宇,李浩,向永霞,李果</t>
  </si>
  <si>
    <t>F950033933089051</t>
  </si>
  <si>
    <t>陈道齐</t>
  </si>
  <si>
    <t>F950034094964906</t>
  </si>
  <si>
    <t>宋兴林</t>
  </si>
  <si>
    <t>宋波,宋兴林,宋桂旭,海洪珍,宋春秋</t>
  </si>
  <si>
    <t>F950034364652060</t>
  </si>
  <si>
    <t>姚焕珍</t>
  </si>
  <si>
    <t>郭茂英,宋禄富,宋郭仙,姚焕珍,宋佳俊</t>
  </si>
  <si>
    <t>F950034472776925</t>
  </si>
  <si>
    <t>杨桂枝</t>
  </si>
  <si>
    <t>王林,杨桂枝,王桂强,陈明珍</t>
  </si>
  <si>
    <t>F950035863557964</t>
  </si>
  <si>
    <t>易红</t>
  </si>
  <si>
    <t>易红,汪玉秀,易仕伦</t>
  </si>
  <si>
    <t>F950037768714446</t>
  </si>
  <si>
    <t>付秋兰</t>
  </si>
  <si>
    <t>张湉湉,付秋兰</t>
  </si>
  <si>
    <t>F950037971839512</t>
  </si>
  <si>
    <t>宋诗容</t>
  </si>
  <si>
    <t>陈洪友,陈道勇,宋诗容,陈洪玉</t>
  </si>
  <si>
    <t>F950038922465251</t>
  </si>
  <si>
    <t>王定学</t>
  </si>
  <si>
    <t>王安浩,王定学,杨朝凤</t>
  </si>
  <si>
    <t>F950040493714280</t>
  </si>
  <si>
    <t>李华枝</t>
  </si>
  <si>
    <t>F950041123557989</t>
  </si>
  <si>
    <t>王德兴</t>
  </si>
  <si>
    <t>王德兴,李万秀</t>
  </si>
  <si>
    <t>F950041893089319</t>
  </si>
  <si>
    <t>张开祥</t>
  </si>
  <si>
    <t>文登秀,张开祥</t>
  </si>
  <si>
    <t>F950042061058163</t>
  </si>
  <si>
    <t>何永洪</t>
  </si>
  <si>
    <t>何永洪,吴友芝,何兴涛</t>
  </si>
  <si>
    <t>F950042444808461</t>
  </si>
  <si>
    <t>高思清</t>
  </si>
  <si>
    <t>唐崇杰,高思清</t>
  </si>
  <si>
    <t>F950043349339953</t>
  </si>
  <si>
    <t>王友芳</t>
  </si>
  <si>
    <t>宋中棋,胡成祥,宋录艳,车棚,王友芳,胡勇</t>
  </si>
  <si>
    <t>F950044527307855</t>
  </si>
  <si>
    <t>宛林学</t>
  </si>
  <si>
    <t>宛林学,李魁福,黄顺香</t>
  </si>
  <si>
    <t>F037283156369068</t>
  </si>
  <si>
    <t>隆兴村委会</t>
  </si>
  <si>
    <t>赖仕荣</t>
  </si>
  <si>
    <t>赖荣川,赖仕荣</t>
  </si>
  <si>
    <t>F215102262748010</t>
  </si>
  <si>
    <t>刘加庆</t>
  </si>
  <si>
    <t>F524109320807943</t>
  </si>
  <si>
    <t>刘芳承</t>
  </si>
  <si>
    <t>F524110461007969</t>
  </si>
  <si>
    <t>刘永山</t>
  </si>
  <si>
    <t>F814534428714666</t>
  </si>
  <si>
    <t>伍慧玲</t>
  </si>
  <si>
    <t>F891540212827033</t>
  </si>
  <si>
    <t>吕永清</t>
  </si>
  <si>
    <t>吕永清,吕大元</t>
  </si>
  <si>
    <t>F949982287308436</t>
  </si>
  <si>
    <t>廖永芝</t>
  </si>
  <si>
    <t>F949982386526930</t>
  </si>
  <si>
    <t>李家福</t>
  </si>
  <si>
    <t>李家福,杨圣珍,李尚科,李亭雨</t>
  </si>
  <si>
    <t>F949984456839123</t>
  </si>
  <si>
    <t>何万林</t>
  </si>
  <si>
    <t>何万林,杨保英</t>
  </si>
  <si>
    <t>F949990222777025</t>
  </si>
  <si>
    <t>周玉连</t>
  </si>
  <si>
    <t>F950011545589564</t>
  </si>
  <si>
    <t>赵桂富</t>
  </si>
  <si>
    <t>F950013045120582</t>
  </si>
  <si>
    <t>赵桂芝</t>
  </si>
  <si>
    <t>F950013356058416</t>
  </si>
  <si>
    <t>唐登秀</t>
  </si>
  <si>
    <t>F950014307309394</t>
  </si>
  <si>
    <t>张福前</t>
  </si>
  <si>
    <t>F950014365433061</t>
  </si>
  <si>
    <t>曾树华</t>
  </si>
  <si>
    <t>F950016451995350</t>
  </si>
  <si>
    <t>刘光忠</t>
  </si>
  <si>
    <t>刘光忠,刘丽萍</t>
  </si>
  <si>
    <t>F950016482464343</t>
  </si>
  <si>
    <t>何元珍</t>
  </si>
  <si>
    <t>F950016745902157</t>
  </si>
  <si>
    <t>葛林兴</t>
  </si>
  <si>
    <t>F950018359807867</t>
  </si>
  <si>
    <t>刘光武</t>
  </si>
  <si>
    <t>刘光武,刘培义,刘雪宇,巫良红,刘林</t>
  </si>
  <si>
    <t>F950018384183654</t>
  </si>
  <si>
    <t>杨富伦</t>
  </si>
  <si>
    <t>F950018552776889</t>
  </si>
  <si>
    <t>牟大田</t>
  </si>
  <si>
    <t>F950018651527235</t>
  </si>
  <si>
    <t>姚正书</t>
  </si>
  <si>
    <t>F950018728402388</t>
  </si>
  <si>
    <t>张福弟</t>
  </si>
  <si>
    <t>F950020363714734</t>
  </si>
  <si>
    <t>刘加奎</t>
  </si>
  <si>
    <t>F950020580276798</t>
  </si>
  <si>
    <t>胡其珍</t>
  </si>
  <si>
    <t>F950024332308066</t>
  </si>
  <si>
    <t>刘加塘</t>
  </si>
  <si>
    <t>F950024381839528</t>
  </si>
  <si>
    <t>刘承江</t>
  </si>
  <si>
    <t>F950024463401725</t>
  </si>
  <si>
    <t>伍华恩</t>
  </si>
  <si>
    <t>伍华恩,蒋兴连,伍君太,伍斌庆,伍斌勇,王长碧</t>
  </si>
  <si>
    <t>F950024696057873</t>
  </si>
  <si>
    <t>张福贵</t>
  </si>
  <si>
    <t>F950025103245311</t>
  </si>
  <si>
    <t>夏英秀</t>
  </si>
  <si>
    <t>F950026138714732</t>
  </si>
  <si>
    <t>刘家凯</t>
  </si>
  <si>
    <t>刘吉荣,刘净鑫,吴林枝,刘家凯,王稀</t>
  </si>
  <si>
    <t>F950027074339077</t>
  </si>
  <si>
    <t>张明莲</t>
  </si>
  <si>
    <t>F950027199651956</t>
  </si>
  <si>
    <t>张忠芝</t>
  </si>
  <si>
    <t>F950027231682774</t>
  </si>
  <si>
    <t>葛啟明</t>
  </si>
  <si>
    <t>F950028048402447</t>
  </si>
  <si>
    <t>石德芝</t>
  </si>
  <si>
    <t>廖旭雁,廖贵富,石德芝,廖勇,蒋凤</t>
  </si>
  <si>
    <t>F950028699808031</t>
  </si>
  <si>
    <t>刘秀英</t>
  </si>
  <si>
    <t>F950028926370508</t>
  </si>
  <si>
    <t>王凤英</t>
  </si>
  <si>
    <t>F950029779495752</t>
  </si>
  <si>
    <t>马礼兴</t>
  </si>
  <si>
    <t>马晓霞,马礼兴,杨敏文</t>
  </si>
  <si>
    <t>F950030003245387</t>
  </si>
  <si>
    <t>巫良贵</t>
  </si>
  <si>
    <t>F950031203089608</t>
  </si>
  <si>
    <t>康路根</t>
  </si>
  <si>
    <t>张远萍,伍厚霞,张潇聍,何秀芝,康有全,康路根,张远芹</t>
  </si>
  <si>
    <t>F950031855589787</t>
  </si>
  <si>
    <t>彭贤富</t>
  </si>
  <si>
    <t>F950032228558026</t>
  </si>
  <si>
    <t>巫良君</t>
  </si>
  <si>
    <t>巫明霞,祝明英,巫良君</t>
  </si>
  <si>
    <t>F950032317933777</t>
  </si>
  <si>
    <t>朱炳秀</t>
  </si>
  <si>
    <t>F950032532776842</t>
  </si>
  <si>
    <t>刘永培</t>
  </si>
  <si>
    <t>刘永培,刘仁学,刘亭志</t>
  </si>
  <si>
    <t>F950032584027052</t>
  </si>
  <si>
    <t>张福亮</t>
  </si>
  <si>
    <t>F950033790277033</t>
  </si>
  <si>
    <t>刘桂华</t>
  </si>
  <si>
    <t>李旭晴,李万全,刘桂华</t>
  </si>
  <si>
    <t>F950035890120499</t>
  </si>
  <si>
    <t>罗立珍</t>
  </si>
  <si>
    <t>F950036188401744</t>
  </si>
  <si>
    <t>张云峰</t>
  </si>
  <si>
    <t>F950037039339393</t>
  </si>
  <si>
    <t>宋六芝</t>
  </si>
  <si>
    <t>F950038105276539</t>
  </si>
  <si>
    <t>李家芝</t>
  </si>
  <si>
    <t>姚天培,况万芝,姚山俞,李家芝</t>
  </si>
  <si>
    <t>F950038122776963</t>
  </si>
  <si>
    <t>祝明金</t>
  </si>
  <si>
    <t>祝明金,祝明富</t>
  </si>
  <si>
    <t>F950038690120701</t>
  </si>
  <si>
    <t>舒朝珍</t>
  </si>
  <si>
    <t>李泽银,杨正香,李志强,向思羽,舒朝珍</t>
  </si>
  <si>
    <t>F950040076058123</t>
  </si>
  <si>
    <t>葛啟秀</t>
  </si>
  <si>
    <t>F950040187776866</t>
  </si>
  <si>
    <t>刘加彬</t>
  </si>
  <si>
    <t>刘加彬,曾国香,刘莉,罗加珍,刘加松,刘雨婷</t>
  </si>
  <si>
    <t>F950040322776674</t>
  </si>
  <si>
    <t>吕永弟</t>
  </si>
  <si>
    <t>F950041027933263</t>
  </si>
  <si>
    <t>刘兴枝</t>
  </si>
  <si>
    <t>F950041184027179</t>
  </si>
  <si>
    <t>吕大才</t>
  </si>
  <si>
    <t>F950041230589571</t>
  </si>
  <si>
    <t>巫崇珍</t>
  </si>
  <si>
    <t>F950042382776943</t>
  </si>
  <si>
    <t>吕大芳</t>
  </si>
  <si>
    <t>F950042951839244</t>
  </si>
  <si>
    <t>伍华庭</t>
  </si>
  <si>
    <t>伍华庭,万朝珍,伍君全</t>
  </si>
  <si>
    <t>F950043014495593</t>
  </si>
  <si>
    <t>程尚珍</t>
  </si>
  <si>
    <t>李学英,程尚珍</t>
  </si>
  <si>
    <t>F950043080589484</t>
  </si>
  <si>
    <t>陈国银</t>
  </si>
  <si>
    <t>F950044618714450</t>
  </si>
  <si>
    <t>张福忠</t>
  </si>
  <si>
    <t>F997878688857855</t>
  </si>
  <si>
    <t>刘光全</t>
  </si>
  <si>
    <t>巫红燕,刘光芝,巫成军,刘光全,巫明前,刘培香</t>
  </si>
  <si>
    <t>F037280262931889</t>
  </si>
  <si>
    <t>山水村委会</t>
  </si>
  <si>
    <t>李兴德</t>
  </si>
  <si>
    <t>F155915874792625</t>
  </si>
  <si>
    <t>文静</t>
  </si>
  <si>
    <t>F155917137429824</t>
  </si>
  <si>
    <t>张洪明</t>
  </si>
  <si>
    <t>张洪明,王翠英</t>
  </si>
  <si>
    <t>F187486257732984</t>
  </si>
  <si>
    <t>王仕强</t>
  </si>
  <si>
    <t>王仕强,张容,王琦</t>
  </si>
  <si>
    <t>F215118099058391</t>
  </si>
  <si>
    <t>邓文华,邱兴惠,邓建平</t>
  </si>
  <si>
    <t>F244772673217072</t>
  </si>
  <si>
    <t>段绍培</t>
  </si>
  <si>
    <t>F273775364940822</t>
  </si>
  <si>
    <t>夏忠友</t>
  </si>
  <si>
    <t>F292103191322147</t>
  </si>
  <si>
    <t>李芳</t>
  </si>
  <si>
    <t>廖桂兰,吴金容,李芳,吴建蓉,吴孟均</t>
  </si>
  <si>
    <t>F292110274290737</t>
  </si>
  <si>
    <t>费功芝</t>
  </si>
  <si>
    <t>F417748769401571</t>
  </si>
  <si>
    <t>肖章金</t>
  </si>
  <si>
    <t>肖章金,肖瑶</t>
  </si>
  <si>
    <t>F576263229196934</t>
  </si>
  <si>
    <t>王兴明</t>
  </si>
  <si>
    <t>王敏,王君,王兴明,杨玲</t>
  </si>
  <si>
    <t>F576279272380620</t>
  </si>
  <si>
    <t>张光银</t>
  </si>
  <si>
    <t>文登凤,张光银</t>
  </si>
  <si>
    <t>F604373415412785</t>
  </si>
  <si>
    <t>张光彬</t>
  </si>
  <si>
    <t>张光彬,张祥,王秀花,张洞荣,张帅,张涛,王树林</t>
  </si>
  <si>
    <t>F632193569554540</t>
  </si>
  <si>
    <t>陶祖秀,朱星明</t>
  </si>
  <si>
    <t>F683363802906734</t>
  </si>
  <si>
    <t>林国强</t>
  </si>
  <si>
    <t>林显峰,林国强,林思予</t>
  </si>
  <si>
    <t>F759632196439633</t>
  </si>
  <si>
    <t>张洪香</t>
  </si>
  <si>
    <t>F949982105745751</t>
  </si>
  <si>
    <t>梅解才</t>
  </si>
  <si>
    <t>F949984036526912</t>
  </si>
  <si>
    <t>霍乃富</t>
  </si>
  <si>
    <t>F949984075589850</t>
  </si>
  <si>
    <t>魏德秀</t>
  </si>
  <si>
    <t>F949986020745693</t>
  </si>
  <si>
    <t>林传益</t>
  </si>
  <si>
    <t>林传益,谭万香</t>
  </si>
  <si>
    <t>F949986083089065</t>
  </si>
  <si>
    <t>宋志文</t>
  </si>
  <si>
    <t>宋志文,宋德伦,宋德姣</t>
  </si>
  <si>
    <t>F949986143245628</t>
  </si>
  <si>
    <t>邓文甫</t>
  </si>
  <si>
    <t>邓佳成,张旭超,邓博文,邓文甫</t>
  </si>
  <si>
    <t>F949988156683416</t>
  </si>
  <si>
    <t>杨玉先</t>
  </si>
  <si>
    <t>彭祖秀,蒋玉学,杨玉先</t>
  </si>
  <si>
    <t>F950009727464057</t>
  </si>
  <si>
    <t>饶昌发</t>
  </si>
  <si>
    <t>F950013335121007</t>
  </si>
  <si>
    <t>王加秀</t>
  </si>
  <si>
    <t>F950014424339240</t>
  </si>
  <si>
    <t>荣志红,张兴富,张万红,张翔雷</t>
  </si>
  <si>
    <t>F950014495276879</t>
  </si>
  <si>
    <t>陶德芳</t>
  </si>
  <si>
    <t>F950014507308130</t>
  </si>
  <si>
    <t>王德凤</t>
  </si>
  <si>
    <t>F950014896057994</t>
  </si>
  <si>
    <t>王天发</t>
  </si>
  <si>
    <t>F950015417620410</t>
  </si>
  <si>
    <t>王正金</t>
  </si>
  <si>
    <t>F950015615120715</t>
  </si>
  <si>
    <t>姚洪万</t>
  </si>
  <si>
    <t>F950015803245442</t>
  </si>
  <si>
    <t>温洪芝</t>
  </si>
  <si>
    <t>F950016826527027</t>
  </si>
  <si>
    <t>胡仕珍</t>
  </si>
  <si>
    <t>F950016835589407</t>
  </si>
  <si>
    <t>霍才银</t>
  </si>
  <si>
    <t>霍俊利,霍秋燕,霍乃华,霍才银,李佳欣</t>
  </si>
  <si>
    <t>F950018543870781</t>
  </si>
  <si>
    <t>邓学校</t>
  </si>
  <si>
    <t>F950020655120591</t>
  </si>
  <si>
    <t>吴秀珍</t>
  </si>
  <si>
    <t>李春燕,霍冬梅,霍乃江,吴秀珍,霍丹</t>
  </si>
  <si>
    <t>F950022507932742</t>
  </si>
  <si>
    <t>霍超文</t>
  </si>
  <si>
    <t>霍祝涛,霍超文</t>
  </si>
  <si>
    <t>F950024489495473</t>
  </si>
  <si>
    <t>王兴才</t>
  </si>
  <si>
    <t>王梓燕,王兴才,王梁积</t>
  </si>
  <si>
    <t>F950024528714561</t>
  </si>
  <si>
    <t>宋子书</t>
  </si>
  <si>
    <t>F950024610901998</t>
  </si>
  <si>
    <t>李帮伦</t>
  </si>
  <si>
    <t>F950025813245989</t>
  </si>
  <si>
    <t>刘未洪</t>
  </si>
  <si>
    <t>F950025952151568</t>
  </si>
  <si>
    <t>苏正华</t>
  </si>
  <si>
    <t>F950026006370741</t>
  </si>
  <si>
    <t>陈文元</t>
  </si>
  <si>
    <t>唐小林,陈柯兴,陈文元</t>
  </si>
  <si>
    <t>F950026061995820</t>
  </si>
  <si>
    <t>董德秀</t>
  </si>
  <si>
    <t>董德秀,王福友,巫桂秀,王禄松</t>
  </si>
  <si>
    <t>F950026088870636</t>
  </si>
  <si>
    <t>文联科</t>
  </si>
  <si>
    <t>文秋琳,文芸芸,文联科</t>
  </si>
  <si>
    <t>F950026552151752</t>
  </si>
  <si>
    <t>杨友珍</t>
  </si>
  <si>
    <t>杨友珍,彭志杨,彭友富</t>
  </si>
  <si>
    <t>F950027168089815</t>
  </si>
  <si>
    <t>周啟会</t>
  </si>
  <si>
    <t>F950027182776551</t>
  </si>
  <si>
    <t>聂中华</t>
  </si>
  <si>
    <t>聂中华,陈秀珍,聂亭雨</t>
  </si>
  <si>
    <t>F950028836839552</t>
  </si>
  <si>
    <t>霍久书</t>
  </si>
  <si>
    <t>林天均,霍久书</t>
  </si>
  <si>
    <t>F950028895745513</t>
  </si>
  <si>
    <t>王仕弟</t>
  </si>
  <si>
    <t>王仕弟,刘兴玉,王代军</t>
  </si>
  <si>
    <t>F950029770432921</t>
  </si>
  <si>
    <t>王青培</t>
  </si>
  <si>
    <t>王青培,王健雄,雷洋珍</t>
  </si>
  <si>
    <t>F950030020433288</t>
  </si>
  <si>
    <t>唐树高</t>
  </si>
  <si>
    <t>F950030121683296</t>
  </si>
  <si>
    <t>吕世珍</t>
  </si>
  <si>
    <t>F950030170745883</t>
  </si>
  <si>
    <t>漆忠富</t>
  </si>
  <si>
    <t>漆忠富,漆良科,高银芝</t>
  </si>
  <si>
    <t>F950030326996030</t>
  </si>
  <si>
    <t>严桂珍</t>
  </si>
  <si>
    <t>F950030361370472</t>
  </si>
  <si>
    <t>姚兴旺</t>
  </si>
  <si>
    <t>姚杨,姚兴旺</t>
  </si>
  <si>
    <t>F950030609652059</t>
  </si>
  <si>
    <t>霍乃万</t>
  </si>
  <si>
    <t>F950030914027233</t>
  </si>
  <si>
    <t>张开贵</t>
  </si>
  <si>
    <t>F950031999183050</t>
  </si>
  <si>
    <t>黄朝金</t>
  </si>
  <si>
    <t>黄朝金,肖文芝</t>
  </si>
  <si>
    <t>F950032008714476</t>
  </si>
  <si>
    <t>张福容</t>
  </si>
  <si>
    <t>F950032089339652</t>
  </si>
  <si>
    <t>张兴友</t>
  </si>
  <si>
    <t>F950032436214496</t>
  </si>
  <si>
    <t>余成珍</t>
  </si>
  <si>
    <t>余成珍,霍乃群,霍红美,霍宇轩,霍红丽,霍虹燕,阿由罗洗</t>
  </si>
  <si>
    <t>F950032445432829</t>
  </si>
  <si>
    <t>罗淑容</t>
  </si>
  <si>
    <t>F950032469808701</t>
  </si>
  <si>
    <t>黄明全</t>
  </si>
  <si>
    <t>F950033777933182</t>
  </si>
  <si>
    <t>F950033996839708</t>
  </si>
  <si>
    <t>刘光珍</t>
  </si>
  <si>
    <t>F950034160745199</t>
  </si>
  <si>
    <t>刘桂之</t>
  </si>
  <si>
    <t>F950034610745820</t>
  </si>
  <si>
    <t>陈宇华</t>
  </si>
  <si>
    <t>F950034970901881</t>
  </si>
  <si>
    <t>何梦婷,何国军</t>
  </si>
  <si>
    <t>F950035005433215</t>
  </si>
  <si>
    <t>陈恩才</t>
  </si>
  <si>
    <t>阿吉五各莫,陈恩才,陈兰,陈林</t>
  </si>
  <si>
    <t>F950035035120960</t>
  </si>
  <si>
    <t>刘仁荣</t>
  </si>
  <si>
    <t>刘彬,刘仁荣</t>
  </si>
  <si>
    <t>F950035037308450</t>
  </si>
  <si>
    <t>王学文</t>
  </si>
  <si>
    <t>王学文,王炟富</t>
  </si>
  <si>
    <t>F950035748870945</t>
  </si>
  <si>
    <t>罗万珍</t>
  </si>
  <si>
    <t>F950035842151963</t>
  </si>
  <si>
    <t>姚正家</t>
  </si>
  <si>
    <t>姚正家,姚天富</t>
  </si>
  <si>
    <t>F950035949808039</t>
  </si>
  <si>
    <t>曾理强</t>
  </si>
  <si>
    <t>F950036326057980</t>
  </si>
  <si>
    <t>刘万英</t>
  </si>
  <si>
    <t>F950036343558177</t>
  </si>
  <si>
    <t>陶德金</t>
  </si>
  <si>
    <t>陶校毅,陶德金,陶祖明,陶德富</t>
  </si>
  <si>
    <t>F950036349964078</t>
  </si>
  <si>
    <t>王敏</t>
  </si>
  <si>
    <t>王敏,李知林</t>
  </si>
  <si>
    <t>F950036519964435</t>
  </si>
  <si>
    <t>杨玉英</t>
  </si>
  <si>
    <t>王代芝,杨玉英,刘颖,刘杨</t>
  </si>
  <si>
    <t>F950036555745428</t>
  </si>
  <si>
    <t>张兰清</t>
  </si>
  <si>
    <t>F950036653714475</t>
  </si>
  <si>
    <t>李绍珍</t>
  </si>
  <si>
    <t>F950036825433171</t>
  </si>
  <si>
    <t>曾仁才</t>
  </si>
  <si>
    <t>F950036850433176</t>
  </si>
  <si>
    <t>张兴发</t>
  </si>
  <si>
    <t>F950036935745294</t>
  </si>
  <si>
    <t>黄兴之</t>
  </si>
  <si>
    <t>F950036965901887</t>
  </si>
  <si>
    <t>李秀芬</t>
  </si>
  <si>
    <t>王能,李秀芬,王艳,陈恩金</t>
  </si>
  <si>
    <t>F950038128714059</t>
  </si>
  <si>
    <t>杨述花</t>
  </si>
  <si>
    <t>F950038300901899</t>
  </si>
  <si>
    <t>王正凯</t>
  </si>
  <si>
    <t>F950038415433351</t>
  </si>
  <si>
    <t>左荣分</t>
  </si>
  <si>
    <t>F950038637464574</t>
  </si>
  <si>
    <t>张宜光</t>
  </si>
  <si>
    <t>F950038756995526</t>
  </si>
  <si>
    <t>彭明珍</t>
  </si>
  <si>
    <t>F950038875745595</t>
  </si>
  <si>
    <t>秦正全</t>
  </si>
  <si>
    <t>秦正全,卢春霖,卢柯锦,秦小芳</t>
  </si>
  <si>
    <t>F950039076214410</t>
  </si>
  <si>
    <t>黄登贵</t>
  </si>
  <si>
    <t>F950039219808375</t>
  </si>
  <si>
    <t>成定学</t>
  </si>
  <si>
    <t>成定学,成坤</t>
  </si>
  <si>
    <t>F950039794027012</t>
  </si>
  <si>
    <t>王仕刚</t>
  </si>
  <si>
    <t>F950039834026892</t>
  </si>
  <si>
    <t>费显怀</t>
  </si>
  <si>
    <t>费显怀,吴树先,费荣东</t>
  </si>
  <si>
    <t>F950040046996043</t>
  </si>
  <si>
    <t>苏正江</t>
  </si>
  <si>
    <t>F950040657620923</t>
  </si>
  <si>
    <t>饶昌文</t>
  </si>
  <si>
    <t>F950040751370378</t>
  </si>
  <si>
    <t>董德炳</t>
  </si>
  <si>
    <t>F950040914027006</t>
  </si>
  <si>
    <t>江正科</t>
  </si>
  <si>
    <t>F950041022308140</t>
  </si>
  <si>
    <t>车国珍</t>
  </si>
  <si>
    <t>F950042265433340</t>
  </si>
  <si>
    <t>姚天云</t>
  </si>
  <si>
    <t>姚天云,普培瑞,姚正银,姚杰腾,李桂香,姚金松</t>
  </si>
  <si>
    <t>F950042454183120</t>
  </si>
  <si>
    <t>王如杰</t>
  </si>
  <si>
    <t>F950042708558319</t>
  </si>
  <si>
    <t>邓文武</t>
  </si>
  <si>
    <t>邓彬,邓文武</t>
  </si>
  <si>
    <t>F950042955120761</t>
  </si>
  <si>
    <t>王仕高</t>
  </si>
  <si>
    <t>F950043183558523</t>
  </si>
  <si>
    <t>梁明安</t>
  </si>
  <si>
    <t>吴林泽,梁明安,梁朝英</t>
  </si>
  <si>
    <t>F950043289339497</t>
  </si>
  <si>
    <t>蒙桂英</t>
  </si>
  <si>
    <t>F950043308558040</t>
  </si>
  <si>
    <t>杨才书</t>
  </si>
  <si>
    <t>F950044148870514</t>
  </si>
  <si>
    <t>王代明</t>
  </si>
  <si>
    <t>王代明,王义辉</t>
  </si>
  <si>
    <t>F950044174964380</t>
  </si>
  <si>
    <t>霍乃登</t>
  </si>
  <si>
    <t>F950044178402336</t>
  </si>
  <si>
    <t>张永芝</t>
  </si>
  <si>
    <t>F950044581995410</t>
  </si>
  <si>
    <t>胡淑明</t>
  </si>
  <si>
    <t>F950044829339687</t>
  </si>
  <si>
    <t>霍乃彬</t>
  </si>
  <si>
    <t>田金秀,霍乃吉,霍秋霞,霍乃彬</t>
  </si>
  <si>
    <t>F951715356839620</t>
  </si>
  <si>
    <t>邓学仁</t>
  </si>
  <si>
    <t>邓文太,邓学仁,邓添芳</t>
  </si>
  <si>
    <t>F983525822141653</t>
  </si>
  <si>
    <t>邓学庭</t>
  </si>
  <si>
    <t>F983541613840916</t>
  </si>
  <si>
    <t>邓文贵</t>
  </si>
  <si>
    <t>F392067046066980</t>
  </si>
  <si>
    <t>富新镇</t>
  </si>
  <si>
    <t>清凉村委会</t>
  </si>
  <si>
    <t>张中英</t>
  </si>
  <si>
    <t>张中英,陈文超</t>
  </si>
  <si>
    <t>F393548824926978</t>
  </si>
  <si>
    <t>段绍树</t>
  </si>
  <si>
    <t>段新敏,段绍树,程小英,段新彬</t>
  </si>
  <si>
    <t>F497290543888010</t>
  </si>
  <si>
    <t>袁光海</t>
  </si>
  <si>
    <t>杨永素,袁达会,袁光海</t>
  </si>
  <si>
    <t>F557769956075473</t>
  </si>
  <si>
    <t>曾宗莲</t>
  </si>
  <si>
    <t>F785827447188018</t>
  </si>
  <si>
    <t>向云富</t>
  </si>
  <si>
    <t>向云富,向子豪,向梦煊,向梓涵,向抹</t>
  </si>
  <si>
    <t>F785961165156764</t>
  </si>
  <si>
    <t>罗楚财</t>
  </si>
  <si>
    <t>吴国英,罗楚财</t>
  </si>
  <si>
    <t>F934076602588479</t>
  </si>
  <si>
    <t>杨正明</t>
  </si>
  <si>
    <t>杨正明,周显芝,罗正</t>
  </si>
  <si>
    <t>F949982244339386</t>
  </si>
  <si>
    <t>周荣华</t>
  </si>
  <si>
    <t>周荣华,杨宝珍,周光富</t>
  </si>
  <si>
    <t>F949984145901704</t>
  </si>
  <si>
    <t>朱国红</t>
  </si>
  <si>
    <t>F949988159651761</t>
  </si>
  <si>
    <t>向世云</t>
  </si>
  <si>
    <t>向世云,邱应珍</t>
  </si>
  <si>
    <t>F949990308870623</t>
  </si>
  <si>
    <t>陈谢珍</t>
  </si>
  <si>
    <t>F950009787151789</t>
  </si>
  <si>
    <t>段家兴</t>
  </si>
  <si>
    <t>童守芝,段绍相,段家兴,段金龙</t>
  </si>
  <si>
    <t>F950011385745756</t>
  </si>
  <si>
    <t>梁代文</t>
  </si>
  <si>
    <t>F950011564339393</t>
  </si>
  <si>
    <t>罗绍炳</t>
  </si>
  <si>
    <t>F950012951526919</t>
  </si>
  <si>
    <t>杨显秀</t>
  </si>
  <si>
    <t>F950013213089017</t>
  </si>
  <si>
    <t>杨永娥</t>
  </si>
  <si>
    <t>F950013636683498</t>
  </si>
  <si>
    <t>刘银珍,杜成玖,杜成六,杜成光</t>
  </si>
  <si>
    <t>F950014491839336</t>
  </si>
  <si>
    <t>李天秀</t>
  </si>
  <si>
    <t>F950014726214937</t>
  </si>
  <si>
    <t>兰昌华</t>
  </si>
  <si>
    <t>F950015400120733</t>
  </si>
  <si>
    <t>陈琴发</t>
  </si>
  <si>
    <t>F950016468558311</t>
  </si>
  <si>
    <t>明再云</t>
  </si>
  <si>
    <t>F950018680745845</t>
  </si>
  <si>
    <t>吴立秀</t>
  </si>
  <si>
    <t>朱世才,吴立秀</t>
  </si>
  <si>
    <t>F950020360433686</t>
  </si>
  <si>
    <t>陈琴贵</t>
  </si>
  <si>
    <t>陈琴贵,刘中英</t>
  </si>
  <si>
    <t>F950020500120813</t>
  </si>
  <si>
    <t>张在荣</t>
  </si>
  <si>
    <t>张天焰,张在荣</t>
  </si>
  <si>
    <t>F950020521214037</t>
  </si>
  <si>
    <t>舒连珍</t>
  </si>
  <si>
    <t>F950020761058061</t>
  </si>
  <si>
    <t>张家发</t>
  </si>
  <si>
    <t>张家发,罗绍银,张明,张瑞萍,梅华英</t>
  </si>
  <si>
    <t>F950020795433224</t>
  </si>
  <si>
    <t>蓝君华</t>
  </si>
  <si>
    <t>蓝君华,巫贵珍</t>
  </si>
  <si>
    <t>F950022329652077</t>
  </si>
  <si>
    <t>段绍田</t>
  </si>
  <si>
    <t>周荣相,段绍田,段新琼</t>
  </si>
  <si>
    <t>F950022701527309</t>
  </si>
  <si>
    <t>聂芝秀</t>
  </si>
  <si>
    <t>聂芝秀,赵碧明</t>
  </si>
  <si>
    <t>F950024639182867</t>
  </si>
  <si>
    <t>朱国全</t>
  </si>
  <si>
    <t>朱国全,朱雨轩,朱涛,朱薛蓉,叶贵琼,朱剑峰,罗玲</t>
  </si>
  <si>
    <t>F950024654964427</t>
  </si>
  <si>
    <t>宋兴贵</t>
  </si>
  <si>
    <t>宋云,任远富,宋兴贵</t>
  </si>
  <si>
    <t>F950024745433025</t>
  </si>
  <si>
    <t>明在秀</t>
  </si>
  <si>
    <t>F950026433089340</t>
  </si>
  <si>
    <t>巫长美</t>
  </si>
  <si>
    <t>F950026439026821</t>
  </si>
  <si>
    <t>邓友珍</t>
  </si>
  <si>
    <t>F950026704026602</t>
  </si>
  <si>
    <t>曾英</t>
  </si>
  <si>
    <t>刘长玉,刘长慧,刘诗佳,曾英</t>
  </si>
  <si>
    <t>F950026823245349</t>
  </si>
  <si>
    <t>熊根秀</t>
  </si>
  <si>
    <t>F950027202307991</t>
  </si>
  <si>
    <t>罗超有</t>
  </si>
  <si>
    <t>F950028217151888</t>
  </si>
  <si>
    <t>宋兴陶</t>
  </si>
  <si>
    <t>宋兴陶,周昌华</t>
  </si>
  <si>
    <t>F950028489027050</t>
  </si>
  <si>
    <t>葵国珍</t>
  </si>
  <si>
    <t>F950028826214824</t>
  </si>
  <si>
    <t>王中学</t>
  </si>
  <si>
    <t>F950028851996584</t>
  </si>
  <si>
    <t>罗楚乾</t>
  </si>
  <si>
    <t>罗楚乾,罗歆瑜,罗绍奎</t>
  </si>
  <si>
    <t>F950029124495785</t>
  </si>
  <si>
    <t>张文华</t>
  </si>
  <si>
    <t>张艺,张文华</t>
  </si>
  <si>
    <t>F950030183245747</t>
  </si>
  <si>
    <t>曾宗荣</t>
  </si>
  <si>
    <t>曾加星,曾雪梅,李秀芝,曾宗荣</t>
  </si>
  <si>
    <t>F950030471527020</t>
  </si>
  <si>
    <t>彭开贵</t>
  </si>
  <si>
    <t>F950030593245828</t>
  </si>
  <si>
    <t>刘平贵</t>
  </si>
  <si>
    <t>刘平贵,巫世莲</t>
  </si>
  <si>
    <t>F950030626683286</t>
  </si>
  <si>
    <t>宋国强</t>
  </si>
  <si>
    <t>F950031758558238</t>
  </si>
  <si>
    <t>罗楚秋</t>
  </si>
  <si>
    <t>罗楚秋,罗绍财</t>
  </si>
  <si>
    <t>F950032005589485</t>
  </si>
  <si>
    <t>李天桂</t>
  </si>
  <si>
    <t>F950032014339313</t>
  </si>
  <si>
    <t>雷德兴</t>
  </si>
  <si>
    <t>雷德兴,黄中连</t>
  </si>
  <si>
    <t>F950033028558251</t>
  </si>
  <si>
    <t>宋兴荣</t>
  </si>
  <si>
    <t>F950034240433696</t>
  </si>
  <si>
    <t>任有珍</t>
  </si>
  <si>
    <t>F950034272933457</t>
  </si>
  <si>
    <t>曾宗洪</t>
  </si>
  <si>
    <t>曾秀平,曾宗洪</t>
  </si>
  <si>
    <t>F950034512620410</t>
  </si>
  <si>
    <t>曾洪清</t>
  </si>
  <si>
    <t>F950034584182960</t>
  </si>
  <si>
    <t>罗绍英</t>
  </si>
  <si>
    <t>F950035871527266</t>
  </si>
  <si>
    <t>宋国兵</t>
  </si>
  <si>
    <t>F950036169495808</t>
  </si>
  <si>
    <t>朱世其</t>
  </si>
  <si>
    <t>F950036274183217</t>
  </si>
  <si>
    <t>朱家雄</t>
  </si>
  <si>
    <t>F950036543870280</t>
  </si>
  <si>
    <t>彭加俊</t>
  </si>
  <si>
    <t>罗先云,彭加俊</t>
  </si>
  <si>
    <t>F950038078089447</t>
  </si>
  <si>
    <t>罗绍明</t>
  </si>
  <si>
    <t>罗义,罗思溶,卿莉,罗先智,罗绍明,李天香</t>
  </si>
  <si>
    <t>F950038101527081</t>
  </si>
  <si>
    <t>罗绍发</t>
  </si>
  <si>
    <t>F950038962620710</t>
  </si>
  <si>
    <t>宋云桃</t>
  </si>
  <si>
    <t>F950039962151949</t>
  </si>
  <si>
    <t>罗超金</t>
  </si>
  <si>
    <t>张在贵,罗超金</t>
  </si>
  <si>
    <t>F950040173714318</t>
  </si>
  <si>
    <t>胡明英</t>
  </si>
  <si>
    <t>F950040385120701</t>
  </si>
  <si>
    <t>张大国</t>
  </si>
  <si>
    <t>F950040563714456</t>
  </si>
  <si>
    <t>任云芬</t>
  </si>
  <si>
    <t>F950040768714459</t>
  </si>
  <si>
    <t>周云光</t>
  </si>
  <si>
    <t>周云光,罗处燕</t>
  </si>
  <si>
    <t>F950042033714389</t>
  </si>
  <si>
    <t>樊长远</t>
  </si>
  <si>
    <t>F950042334027186</t>
  </si>
  <si>
    <t>曾宗兴</t>
  </si>
  <si>
    <t>F950042958245717</t>
  </si>
  <si>
    <t>王太娥</t>
  </si>
  <si>
    <t>曾宗强,王太娥,陈琴秀</t>
  </si>
  <si>
    <t>F950044220120585</t>
  </si>
  <si>
    <t>宋进元</t>
  </si>
  <si>
    <t>F964175804964334</t>
  </si>
  <si>
    <t>张在明</t>
  </si>
  <si>
    <t>张天贵,张在明</t>
  </si>
  <si>
    <t>F999408537824283</t>
  </si>
  <si>
    <t>冯有珍</t>
  </si>
  <si>
    <t>F214415829934628</t>
  </si>
  <si>
    <t>蓝林村委会</t>
  </si>
  <si>
    <t>张大宣</t>
  </si>
  <si>
    <t>F252730704425942</t>
  </si>
  <si>
    <t>李羿锡</t>
  </si>
  <si>
    <t>F252875812332461</t>
  </si>
  <si>
    <t>蔡国树</t>
  </si>
  <si>
    <t>F551169269167545</t>
  </si>
  <si>
    <t>张在学</t>
  </si>
  <si>
    <t>张天利,张在学,莫桂珍,张天胜,张在元,张天耀</t>
  </si>
  <si>
    <t>F551181829323991</t>
  </si>
  <si>
    <t>侯永秀</t>
  </si>
  <si>
    <t>江彬,侯永秀,江燕</t>
  </si>
  <si>
    <t>F895700949986641</t>
  </si>
  <si>
    <t>杨修华</t>
  </si>
  <si>
    <t>F949982115120601</t>
  </si>
  <si>
    <t>张心模</t>
  </si>
  <si>
    <t>F949986079964428</t>
  </si>
  <si>
    <t>陈多连</t>
  </si>
  <si>
    <t>F949988162307802</t>
  </si>
  <si>
    <t>曹加明</t>
  </si>
  <si>
    <t>F949990315120867</t>
  </si>
  <si>
    <t>雷力娣</t>
  </si>
  <si>
    <t>F950009866215076</t>
  </si>
  <si>
    <t>巫桂英</t>
  </si>
  <si>
    <t>F950011678714380</t>
  </si>
  <si>
    <t>张在兴</t>
  </si>
  <si>
    <t>张在兴,何国珍</t>
  </si>
  <si>
    <t>F950012953714068</t>
  </si>
  <si>
    <t>汤文正</t>
  </si>
  <si>
    <t>F950013746370782</t>
  </si>
  <si>
    <t>胡其川</t>
  </si>
  <si>
    <t>F950014596058457</t>
  </si>
  <si>
    <t>张志珍</t>
  </si>
  <si>
    <t>F950014777933016</t>
  </si>
  <si>
    <t>张学文</t>
  </si>
  <si>
    <t>F950015346214275</t>
  </si>
  <si>
    <t>罗兴成</t>
  </si>
  <si>
    <t>罗兴成,陈义芝</t>
  </si>
  <si>
    <t>F950015780901799</t>
  </si>
  <si>
    <t>黄秀芝</t>
  </si>
  <si>
    <t>F950016535745880</t>
  </si>
  <si>
    <t>蔡仲书</t>
  </si>
  <si>
    <t>蔡仲贵,蔡仲书</t>
  </si>
  <si>
    <t>F950016853401677</t>
  </si>
  <si>
    <t>宋香珍</t>
  </si>
  <si>
    <t>F950018375433110</t>
  </si>
  <si>
    <t>熊昌仁</t>
  </si>
  <si>
    <t>F950018782308267</t>
  </si>
  <si>
    <t>黄秀蓉</t>
  </si>
  <si>
    <t>F950020634807985</t>
  </si>
  <si>
    <t>虞从清</t>
  </si>
  <si>
    <t>虞琳,虞文,虞从清</t>
  </si>
  <si>
    <t>F950020764651644</t>
  </si>
  <si>
    <t>任作尤</t>
  </si>
  <si>
    <t>张洪秀,任作尤</t>
  </si>
  <si>
    <t>F950024408558362</t>
  </si>
  <si>
    <t>杨贵秀</t>
  </si>
  <si>
    <t>F950024721995490</t>
  </si>
  <si>
    <t>李于秀</t>
  </si>
  <si>
    <t>宋国玉,李于秀</t>
  </si>
  <si>
    <t>F950026192776852</t>
  </si>
  <si>
    <t>余连清</t>
  </si>
  <si>
    <t>F950026359339131</t>
  </si>
  <si>
    <t>张大瑜</t>
  </si>
  <si>
    <t>F950026383245457</t>
  </si>
  <si>
    <t>汤文华</t>
  </si>
  <si>
    <t>汤文华,李朝云</t>
  </si>
  <si>
    <t>F950026615901508</t>
  </si>
  <si>
    <t>宋黄旭</t>
  </si>
  <si>
    <t>徐艳,宋黄旭,宋雪梅</t>
  </si>
  <si>
    <t>F950027103245484</t>
  </si>
  <si>
    <t>巫良勋</t>
  </si>
  <si>
    <t>F950027216683374</t>
  </si>
  <si>
    <t>李加凤</t>
  </si>
  <si>
    <t>李加凤,任耀琼,任耀文</t>
  </si>
  <si>
    <t>F950028257308714</t>
  </si>
  <si>
    <t>彭国金</t>
  </si>
  <si>
    <t>F950028331058247</t>
  </si>
  <si>
    <t>雷香杨</t>
  </si>
  <si>
    <t>F950028631371120</t>
  </si>
  <si>
    <t>杨朝兰</t>
  </si>
  <si>
    <t>杨朝兰,张庆国</t>
  </si>
  <si>
    <t>F950028634496211</t>
  </si>
  <si>
    <t>艾成秀</t>
  </si>
  <si>
    <t>F950028805589725</t>
  </si>
  <si>
    <t>黄成均</t>
  </si>
  <si>
    <t>童启凤,黄成均,黄梦平,黄梦秋,黄加友,黄强</t>
  </si>
  <si>
    <t>F950028986995754</t>
  </si>
  <si>
    <t>F950030206995626</t>
  </si>
  <si>
    <t>杨慧</t>
  </si>
  <si>
    <t>杨慧,杨叶</t>
  </si>
  <si>
    <t>F950030463089248</t>
  </si>
  <si>
    <t>汤文财</t>
  </si>
  <si>
    <t>汤光辉,汤文财</t>
  </si>
  <si>
    <t>F950030510276918</t>
  </si>
  <si>
    <t>江学根</t>
  </si>
  <si>
    <t>江学根,罗绍琼,江明</t>
  </si>
  <si>
    <t>F950030582620802</t>
  </si>
  <si>
    <t>张在华</t>
  </si>
  <si>
    <t>张天仁,罗光珍,李长锟,张在华</t>
  </si>
  <si>
    <t>F950032772620855</t>
  </si>
  <si>
    <t>冯祖国</t>
  </si>
  <si>
    <t>龚佳妮,冯祖国,冯俊,巫良琼</t>
  </si>
  <si>
    <t>F950032808714775</t>
  </si>
  <si>
    <t>张在雄</t>
  </si>
  <si>
    <t>张茂兰,黄月明,张大榜,张天伟,张在雄</t>
  </si>
  <si>
    <t>F950034083714340</t>
  </si>
  <si>
    <t>夏姝</t>
  </si>
  <si>
    <t>F950034126683215</t>
  </si>
  <si>
    <t>宋兴枢</t>
  </si>
  <si>
    <t>F950034494495469</t>
  </si>
  <si>
    <t>廖中学</t>
  </si>
  <si>
    <t>余桂莲,廖中学</t>
  </si>
  <si>
    <t>F950035845276720</t>
  </si>
  <si>
    <t>童启芬</t>
  </si>
  <si>
    <t>F950036091683414</t>
  </si>
  <si>
    <t>聂昌珍</t>
  </si>
  <si>
    <t>F950036444964070</t>
  </si>
  <si>
    <t>陈代珍</t>
  </si>
  <si>
    <t>F950036635745554</t>
  </si>
  <si>
    <t>张明芳</t>
  </si>
  <si>
    <t>F950036736371121</t>
  </si>
  <si>
    <t>虞自华</t>
  </si>
  <si>
    <t>虞自华,陈琴,牟华珍,陈思雨,陈长贵,陈顺强</t>
  </si>
  <si>
    <t>F950037115120590</t>
  </si>
  <si>
    <t>张大义</t>
  </si>
  <si>
    <t>F950038668402327</t>
  </si>
  <si>
    <t>夏治家</t>
  </si>
  <si>
    <t>F950039210745723</t>
  </si>
  <si>
    <t>张再全</t>
  </si>
  <si>
    <t>F950039877621115</t>
  </si>
  <si>
    <t>杨冬梅</t>
  </si>
  <si>
    <t>F950040081839477</t>
  </si>
  <si>
    <t>杨世秀</t>
  </si>
  <si>
    <t>F950040588558393</t>
  </si>
  <si>
    <t>刘忠玉</t>
  </si>
  <si>
    <t>刘忠玉,张在忠</t>
  </si>
  <si>
    <t>F950040681370777</t>
  </si>
  <si>
    <t>张大银</t>
  </si>
  <si>
    <t>F950040980433797</t>
  </si>
  <si>
    <t>张忠林</t>
  </si>
  <si>
    <t>F950041943401739</t>
  </si>
  <si>
    <t>罗楚贵</t>
  </si>
  <si>
    <t>F950042534182983</t>
  </si>
  <si>
    <t>杨加军</t>
  </si>
  <si>
    <t>杨加军,张大香</t>
  </si>
  <si>
    <t>F950042741370634</t>
  </si>
  <si>
    <t>杨秀珍</t>
  </si>
  <si>
    <t>张再录,杨秀珍,陈丝含,黄素红</t>
  </si>
  <si>
    <t>F950043333714391</t>
  </si>
  <si>
    <t>冯祖林,王林秀,冯强,冯秋艳</t>
  </si>
  <si>
    <t>F950044015120935</t>
  </si>
  <si>
    <t>张致安</t>
  </si>
  <si>
    <t>张致安,任卯龙</t>
  </si>
  <si>
    <t>F066985840189554</t>
  </si>
  <si>
    <t>新塘村委会</t>
  </si>
  <si>
    <t>瞿小琴</t>
  </si>
  <si>
    <t>瞿小琴,干定云</t>
  </si>
  <si>
    <t>F245562753529857</t>
  </si>
  <si>
    <t>梁来香</t>
  </si>
  <si>
    <t>冯建鑫,冯芯琪,冯德平,梁来香</t>
  </si>
  <si>
    <t>F604764884475281</t>
  </si>
  <si>
    <t>郭贻华</t>
  </si>
  <si>
    <t>李润才,郭贻华</t>
  </si>
  <si>
    <t>F760246090171845</t>
  </si>
  <si>
    <t>莫中兴</t>
  </si>
  <si>
    <t>莫云华,陈胜秀,莫思苗,莫中兴</t>
  </si>
  <si>
    <t>F949984020120958</t>
  </si>
  <si>
    <t>陈胜刚</t>
  </si>
  <si>
    <t>陈胜刚,杨先芝,陈洪杰</t>
  </si>
  <si>
    <t>F949984100120814</t>
  </si>
  <si>
    <t>杜成勋</t>
  </si>
  <si>
    <t>陈力杨,陈丹,陈胜光,陈静,杜成勋</t>
  </si>
  <si>
    <t>F950014419495290</t>
  </si>
  <si>
    <t>莫德贵</t>
  </si>
  <si>
    <t>F950018428401629</t>
  </si>
  <si>
    <t>陈胜进</t>
  </si>
  <si>
    <t>牟晓洪,陈翰林,陈芯域,陈胜进</t>
  </si>
  <si>
    <t>F950018559339393</t>
  </si>
  <si>
    <t>何安树</t>
  </si>
  <si>
    <t>何正明,何安树</t>
  </si>
  <si>
    <t>F950022442464236</t>
  </si>
  <si>
    <t>何正金</t>
  </si>
  <si>
    <t>F950024454182846</t>
  </si>
  <si>
    <t>郭少军</t>
  </si>
  <si>
    <t>吴万秀,郭燕,郭少军,郭容</t>
  </si>
  <si>
    <t>F950025015901614</t>
  </si>
  <si>
    <t>吴良会</t>
  </si>
  <si>
    <t>吴良会,张龙金,张龙勋,张森源</t>
  </si>
  <si>
    <t>F950026380276913</t>
  </si>
  <si>
    <t>周大秀,陈胜元,陈朝志</t>
  </si>
  <si>
    <t>F950032085901555</t>
  </si>
  <si>
    <t>彭明冲</t>
  </si>
  <si>
    <t>干玉珍,彭明冲</t>
  </si>
  <si>
    <t>F950033731370793</t>
  </si>
  <si>
    <t>宋湘珍</t>
  </si>
  <si>
    <t>周显容,宋湘珍</t>
  </si>
  <si>
    <t>F950037212776688</t>
  </si>
  <si>
    <t>向德珍</t>
  </si>
  <si>
    <t>F950038809026932</t>
  </si>
  <si>
    <t>F950040808870831</t>
  </si>
  <si>
    <t>刘应凤</t>
  </si>
  <si>
    <t>F950041084964377</t>
  </si>
  <si>
    <t>郭洪林</t>
  </si>
  <si>
    <t>陈胜碎,郭登航,郭洪林,张国琼,郭登祥</t>
  </si>
  <si>
    <t>F950043021370531</t>
  </si>
  <si>
    <t>郭培武</t>
  </si>
  <si>
    <t>郭贻品,郭培武,郭洪杨,郭梦瑶</t>
  </si>
  <si>
    <t>F950043243714326</t>
  </si>
  <si>
    <t>陈群</t>
  </si>
  <si>
    <t>欧光明,潘莉佳,陈群,潘绍华</t>
  </si>
  <si>
    <t>F957750846296196</t>
  </si>
  <si>
    <t>邓胜宽</t>
  </si>
  <si>
    <t>邓胜宽,邓明江</t>
  </si>
  <si>
    <t>F001770099303650</t>
  </si>
  <si>
    <t>双石村委会</t>
  </si>
  <si>
    <t>王学勤</t>
  </si>
  <si>
    <t>F445434089921558</t>
  </si>
  <si>
    <t>熊发成</t>
  </si>
  <si>
    <t>熊发成,吴保珍,熊进才,熊姚杰,熊海惠</t>
  </si>
  <si>
    <t>F580183988708686</t>
  </si>
  <si>
    <t>彭加立</t>
  </si>
  <si>
    <t>F612321846308883</t>
  </si>
  <si>
    <t>杨树明</t>
  </si>
  <si>
    <t>F628585668460779</t>
  </si>
  <si>
    <t>周显云</t>
  </si>
  <si>
    <t>F711493397722521</t>
  </si>
  <si>
    <t>朱永华</t>
  </si>
  <si>
    <t>F949984184652103</t>
  </si>
  <si>
    <t>张再为</t>
  </si>
  <si>
    <t>F949984251058196</t>
  </si>
  <si>
    <t>胡克明</t>
  </si>
  <si>
    <t>F949984360277307</t>
  </si>
  <si>
    <t>蔺远强</t>
  </si>
  <si>
    <t>蔺成元,蔺远强,黄月兰,蔺远刚</t>
  </si>
  <si>
    <t>F950009874339327</t>
  </si>
  <si>
    <t>彭明华</t>
  </si>
  <si>
    <t>龙顶英,彭渝茹,彭明华,彭丽萍,彭德高</t>
  </si>
  <si>
    <t>F950011502777010</t>
  </si>
  <si>
    <t>熊国金</t>
  </si>
  <si>
    <t>彭桂珍,熊国金</t>
  </si>
  <si>
    <t>F950013716995800</t>
  </si>
  <si>
    <t>杨光兵</t>
  </si>
  <si>
    <t>肖文霞,杨光兵</t>
  </si>
  <si>
    <t>F950015165589536</t>
  </si>
  <si>
    <t>李朝明</t>
  </si>
  <si>
    <t>李朝明,郭鸿霓,李泽政,彭广英</t>
  </si>
  <si>
    <t>F950018654964401</t>
  </si>
  <si>
    <t>王东宁</t>
  </si>
  <si>
    <t>王东宁,邓发兰,王秀欢,刘建琼</t>
  </si>
  <si>
    <t>F950024193870744</t>
  </si>
  <si>
    <t>胡克珍</t>
  </si>
  <si>
    <t>F950024944652153</t>
  </si>
  <si>
    <t>干玉书</t>
  </si>
  <si>
    <t>F950026180589543</t>
  </si>
  <si>
    <t>莫均兵</t>
  </si>
  <si>
    <t>莫均兵,罗小容</t>
  </si>
  <si>
    <t>F950027786995421</t>
  </si>
  <si>
    <t>肖克雾</t>
  </si>
  <si>
    <t>F950028765433691</t>
  </si>
  <si>
    <t>王燕平</t>
  </si>
  <si>
    <t>F950029758089854</t>
  </si>
  <si>
    <t>彭德红</t>
  </si>
  <si>
    <t>彭德红,彭秀平</t>
  </si>
  <si>
    <t>F950030739495767</t>
  </si>
  <si>
    <t>徐应才</t>
  </si>
  <si>
    <t>F950030771058487</t>
  </si>
  <si>
    <t>彭勇</t>
  </si>
  <si>
    <t>F950030850121115</t>
  </si>
  <si>
    <t>龙建庭</t>
  </si>
  <si>
    <t>古再平,龙文,龙光友,龙建庭</t>
  </si>
  <si>
    <t>F950031987307896</t>
  </si>
  <si>
    <t>周显兵</t>
  </si>
  <si>
    <t>F950032074026940</t>
  </si>
  <si>
    <t>彭英</t>
  </si>
  <si>
    <t>彭英,肖显清,肖威</t>
  </si>
  <si>
    <t>F950032447620871</t>
  </si>
  <si>
    <t>刘宇贵</t>
  </si>
  <si>
    <t>F950033007933181</t>
  </si>
  <si>
    <t>F950033973714092</t>
  </si>
  <si>
    <t>郭洪军</t>
  </si>
  <si>
    <t>郭洪军,彭晓梅,郭瑞镇</t>
  </si>
  <si>
    <t>F950034270276753</t>
  </si>
  <si>
    <t>郭贻秀</t>
  </si>
  <si>
    <t>F950034313870782</t>
  </si>
  <si>
    <t>向建全</t>
  </si>
  <si>
    <t>向建全,熊光珍</t>
  </si>
  <si>
    <t>F950038545432959</t>
  </si>
  <si>
    <t>胡文根</t>
  </si>
  <si>
    <t>胡文根,王尧珍</t>
  </si>
  <si>
    <t>F950038944026982</t>
  </si>
  <si>
    <t>蔺成刚</t>
  </si>
  <si>
    <t>蔺成刚,李世琼,蔺杉</t>
  </si>
  <si>
    <t>F950039967308349</t>
  </si>
  <si>
    <t>戴明刚</t>
  </si>
  <si>
    <t>戴双农,戴明刚,冯琼</t>
  </si>
  <si>
    <t>F950040971370497</t>
  </si>
  <si>
    <t>龙德洋</t>
  </si>
  <si>
    <t>F950041149964517</t>
  </si>
  <si>
    <t>彭刚</t>
  </si>
  <si>
    <t>F950042006526647</t>
  </si>
  <si>
    <t>莫均平</t>
  </si>
  <si>
    <t>F950042465745689</t>
  </si>
  <si>
    <t>郭培宣</t>
  </si>
  <si>
    <t>F840395438002228</t>
  </si>
  <si>
    <t>筒车村委会</t>
  </si>
  <si>
    <t>饶勇</t>
  </si>
  <si>
    <t>饶勇,饶永贵</t>
  </si>
  <si>
    <t>F949982087777055</t>
  </si>
  <si>
    <t>黄伦英</t>
  </si>
  <si>
    <t>F949982095276915</t>
  </si>
  <si>
    <t>唐能英</t>
  </si>
  <si>
    <t>F949984148401706</t>
  </si>
  <si>
    <t>罗登明</t>
  </si>
  <si>
    <t>罗登明,罗依林,余延凤,唐德秀,罗四海</t>
  </si>
  <si>
    <t>F950011750120496</t>
  </si>
  <si>
    <t>余厚东</t>
  </si>
  <si>
    <t>余延相,余福江,余厚东,龚玉玲</t>
  </si>
  <si>
    <t>F950011792777013</t>
  </si>
  <si>
    <t>何文记</t>
  </si>
  <si>
    <t>F950013087932855</t>
  </si>
  <si>
    <t>彭明元</t>
  </si>
  <si>
    <t>彭德根,潘梦,彭明元,潘复礼</t>
  </si>
  <si>
    <t>F950013257932926</t>
  </si>
  <si>
    <t>彭明为</t>
  </si>
  <si>
    <t>F950013478245522</t>
  </si>
  <si>
    <t>彭明建</t>
  </si>
  <si>
    <t>F950014575120688</t>
  </si>
  <si>
    <t>赵成秀</t>
  </si>
  <si>
    <t>F950024451058087</t>
  </si>
  <si>
    <t>彭明钊</t>
  </si>
  <si>
    <t>彭林,彭明钊</t>
  </si>
  <si>
    <t>F950026388870217</t>
  </si>
  <si>
    <t>彭明兴</t>
  </si>
  <si>
    <t>F950027952620500</t>
  </si>
  <si>
    <t>何定元</t>
  </si>
  <si>
    <t>何定英,蔺文秀,何定元,何宇星</t>
  </si>
  <si>
    <t>F950028086839049</t>
  </si>
  <si>
    <t>田忠校</t>
  </si>
  <si>
    <t>F950029913401888</t>
  </si>
  <si>
    <t>万国友</t>
  </si>
  <si>
    <t>F950033831526637</t>
  </si>
  <si>
    <t>张家荣</t>
  </si>
  <si>
    <t>F950038036058064</t>
  </si>
  <si>
    <t>万国银</t>
  </si>
  <si>
    <t>万玉兴,万国银,吕大珍</t>
  </si>
  <si>
    <t>F950038910589720</t>
  </si>
  <si>
    <t>唐祖英</t>
  </si>
  <si>
    <t>F950040608557872</t>
  </si>
  <si>
    <t>熊晓琴</t>
  </si>
  <si>
    <t>F950040689339456</t>
  </si>
  <si>
    <t>巫长平</t>
  </si>
  <si>
    <t>巫长平,何科辰</t>
  </si>
  <si>
    <t>F950041140745532</t>
  </si>
  <si>
    <t>王超</t>
  </si>
  <si>
    <t>陈胜珍,王超</t>
  </si>
  <si>
    <t>F950041975901850</t>
  </si>
  <si>
    <t>彭明富</t>
  </si>
  <si>
    <t>彭明富,李连会</t>
  </si>
  <si>
    <t>F950042798245693</t>
  </si>
  <si>
    <t>黄金万</t>
  </si>
  <si>
    <t>黄金万,黄安建,李天芬</t>
  </si>
  <si>
    <t>F949982178870553</t>
  </si>
  <si>
    <t>罗柘村委会</t>
  </si>
  <si>
    <t>郭景元</t>
  </si>
  <si>
    <t>F949982486839600</t>
  </si>
  <si>
    <t>李波</t>
  </si>
  <si>
    <t>F950013084964675</t>
  </si>
  <si>
    <t>徐大清</t>
  </si>
  <si>
    <t>F950013748714473</t>
  </si>
  <si>
    <t>王尧友</t>
  </si>
  <si>
    <t>赵连珍,王尧友</t>
  </si>
  <si>
    <t>F950016369652121</t>
  </si>
  <si>
    <t>F950016756370481</t>
  </si>
  <si>
    <t>吴月华</t>
  </si>
  <si>
    <t>F950018774652243</t>
  </si>
  <si>
    <t>徐国力</t>
  </si>
  <si>
    <t>徐国力,徐大洪</t>
  </si>
  <si>
    <t>F950020558558169</t>
  </si>
  <si>
    <t>莫均强</t>
  </si>
  <si>
    <t>F950022499651918</t>
  </si>
  <si>
    <t>李荣秀</t>
  </si>
  <si>
    <t>F950027120120548</t>
  </si>
  <si>
    <t>余仲兰</t>
  </si>
  <si>
    <t>F950027877151580</t>
  </si>
  <si>
    <t>彭连芝</t>
  </si>
  <si>
    <t>F950028888714490</t>
  </si>
  <si>
    <t>刘世太</t>
  </si>
  <si>
    <t>刘芋汐,张琪媛,刘磊,陈胜秀,刘世太</t>
  </si>
  <si>
    <t>F950030027308419</t>
  </si>
  <si>
    <t>王学兵</t>
  </si>
  <si>
    <t>王天强,王学兵,王春梅</t>
  </si>
  <si>
    <t>F950030074495870</t>
  </si>
  <si>
    <t>郭洪兵</t>
  </si>
  <si>
    <t>郭春梅,向传玉,郭贻发,郭登雨,郭春燕,郭洪兵</t>
  </si>
  <si>
    <t>F950030100433474</t>
  </si>
  <si>
    <t>肖军</t>
  </si>
  <si>
    <t>F950030216370706</t>
  </si>
  <si>
    <t>陈钰</t>
  </si>
  <si>
    <t>F950030550901791</t>
  </si>
  <si>
    <t>王中淼</t>
  </si>
  <si>
    <t>李全凤,王中淼</t>
  </si>
  <si>
    <t>F950030865756242</t>
  </si>
  <si>
    <t>唐万旭</t>
  </si>
  <si>
    <t>F950033035902051</t>
  </si>
  <si>
    <t>唐兵</t>
  </si>
  <si>
    <t>F950033059651781</t>
  </si>
  <si>
    <t>李仕明</t>
  </si>
  <si>
    <t>F950034720589468</t>
  </si>
  <si>
    <t>魏明</t>
  </si>
  <si>
    <t>F950034827933356</t>
  </si>
  <si>
    <t>李清伟</t>
  </si>
  <si>
    <t>谢梦叶,李清伟,李洪</t>
  </si>
  <si>
    <t>F950037013870575</t>
  </si>
  <si>
    <t>李仕昌</t>
  </si>
  <si>
    <t>F950039923558974</t>
  </si>
  <si>
    <t>王大元</t>
  </si>
  <si>
    <t>F950039951058214</t>
  </si>
  <si>
    <t>白永贵</t>
  </si>
  <si>
    <t>F950044757933121</t>
  </si>
  <si>
    <t>李清早</t>
  </si>
  <si>
    <t>F950044878714817</t>
  </si>
  <si>
    <t>胡秀珍</t>
  </si>
  <si>
    <t>F974378906860713</t>
  </si>
  <si>
    <t>彭德财</t>
  </si>
  <si>
    <t>彭杨,彭明亮,彭德财</t>
  </si>
  <si>
    <t>F554263218469087</t>
  </si>
  <si>
    <t>小林村委会</t>
  </si>
  <si>
    <t>李天洪</t>
  </si>
  <si>
    <t>曹佳芸,李天洪</t>
  </si>
  <si>
    <t>F580160302157389</t>
  </si>
  <si>
    <t>郭贻琼,陈虹运,陈彦钢</t>
  </si>
  <si>
    <t>F949989922464331</t>
  </si>
  <si>
    <t>张明</t>
  </si>
  <si>
    <t>张明,田瑶</t>
  </si>
  <si>
    <t>F950011429964360</t>
  </si>
  <si>
    <t>蔡永安</t>
  </si>
  <si>
    <t>F950012867620569</t>
  </si>
  <si>
    <t>郑根珍</t>
  </si>
  <si>
    <t>F950014313870483</t>
  </si>
  <si>
    <t>黄月银</t>
  </si>
  <si>
    <t>F950015086214623</t>
  </si>
  <si>
    <t>袁公琼</t>
  </si>
  <si>
    <t>F950018706683687</t>
  </si>
  <si>
    <t>邹代斌</t>
  </si>
  <si>
    <t>F950020593245558</t>
  </si>
  <si>
    <t>F950024211214067</t>
  </si>
  <si>
    <t>李承荣</t>
  </si>
  <si>
    <t>F950025862620573</t>
  </si>
  <si>
    <t>郭贻德</t>
  </si>
  <si>
    <t>F950026592933079</t>
  </si>
  <si>
    <t>黄月清</t>
  </si>
  <si>
    <t>F950028309339652</t>
  </si>
  <si>
    <t>李天发</t>
  </si>
  <si>
    <t>F950034408714301</t>
  </si>
  <si>
    <t>李承贵</t>
  </si>
  <si>
    <t>F950034538089327</t>
  </si>
  <si>
    <t>李天文</t>
  </si>
  <si>
    <t>F950034604339252</t>
  </si>
  <si>
    <t>黄安贵</t>
  </si>
  <si>
    <t>F950034900277458</t>
  </si>
  <si>
    <t>李光萍</t>
  </si>
  <si>
    <t>F950034983402055</t>
  </si>
  <si>
    <t>牟世元</t>
  </si>
  <si>
    <t>牟世元,夏付友</t>
  </si>
  <si>
    <t>F950038051995773</t>
  </si>
  <si>
    <t>黄月明</t>
  </si>
  <si>
    <t>F950040469807865</t>
  </si>
  <si>
    <t>包兴贵</t>
  </si>
  <si>
    <t>杨世林,包兴贵</t>
  </si>
  <si>
    <t>F950040936995297</t>
  </si>
  <si>
    <t>李道旭</t>
  </si>
  <si>
    <t>F950042522933350</t>
  </si>
  <si>
    <t>郭平友</t>
  </si>
  <si>
    <t>F950042873250236</t>
  </si>
  <si>
    <t>李成富</t>
  </si>
  <si>
    <t>李成富,饶永珍</t>
  </si>
  <si>
    <t>F004915347317309</t>
  </si>
  <si>
    <t>水井村委会</t>
  </si>
  <si>
    <t>郭洪英</t>
  </si>
  <si>
    <t>F004919724622225</t>
  </si>
  <si>
    <t>莫海粒</t>
  </si>
  <si>
    <t>F379721222116687</t>
  </si>
  <si>
    <t>魏朝伦</t>
  </si>
  <si>
    <t>张大开,魏朝伦</t>
  </si>
  <si>
    <t>F580162935920623</t>
  </si>
  <si>
    <t>罗楚均,罗绍金,罗春艳</t>
  </si>
  <si>
    <t>F711521254679874</t>
  </si>
  <si>
    <t>任开快</t>
  </si>
  <si>
    <t>F735401200458048</t>
  </si>
  <si>
    <t>宋国未</t>
  </si>
  <si>
    <t>宋云清,宋国文,邓明兴,宋国未</t>
  </si>
  <si>
    <t>F949984052776628</t>
  </si>
  <si>
    <t>胡章元</t>
  </si>
  <si>
    <t>F950011376058210</t>
  </si>
  <si>
    <t>杜品凤</t>
  </si>
  <si>
    <t>F950014403557890</t>
  </si>
  <si>
    <t>曾定前</t>
  </si>
  <si>
    <t>F950016410901650</t>
  </si>
  <si>
    <t>杨永珍</t>
  </si>
  <si>
    <t>F950018642620996</t>
  </si>
  <si>
    <t>宋国萍</t>
  </si>
  <si>
    <t>宋国萍,万利峰,万志永,王瑶秀</t>
  </si>
  <si>
    <t>F950020602934232</t>
  </si>
  <si>
    <t>任开群</t>
  </si>
  <si>
    <t>F950020679652139</t>
  </si>
  <si>
    <t>F950024559807909</t>
  </si>
  <si>
    <t>F950026100901804</t>
  </si>
  <si>
    <t>陈国容</t>
  </si>
  <si>
    <t>F950026223870807</t>
  </si>
  <si>
    <t>杜成兴</t>
  </si>
  <si>
    <t>F950026995745681</t>
  </si>
  <si>
    <t>任远杰</t>
  </si>
  <si>
    <t>F950028302933695</t>
  </si>
  <si>
    <t>任国显</t>
  </si>
  <si>
    <t>F950028401526816</t>
  </si>
  <si>
    <t>吕登秀</t>
  </si>
  <si>
    <t>F950028608245941</t>
  </si>
  <si>
    <t>任远军,李开秀</t>
  </si>
  <si>
    <t>F950030080589985</t>
  </si>
  <si>
    <t>任国仕</t>
  </si>
  <si>
    <t>任远超,任国仕</t>
  </si>
  <si>
    <t>F950030688714801</t>
  </si>
  <si>
    <t>赵联桃</t>
  </si>
  <si>
    <t>F950031166839608</t>
  </si>
  <si>
    <t>任国堂</t>
  </si>
  <si>
    <t>任远良,任国堂,任蕾</t>
  </si>
  <si>
    <t>F950032684652406</t>
  </si>
  <si>
    <t>陈贵珍</t>
  </si>
  <si>
    <t>宋虹,蔺远秀,宋国万,宋宇,陈贵珍</t>
  </si>
  <si>
    <t>F950032948558365</t>
  </si>
  <si>
    <t>任晓节</t>
  </si>
  <si>
    <t>F950034187777021</t>
  </si>
  <si>
    <t>罗浩然</t>
  </si>
  <si>
    <t>F950034543401968</t>
  </si>
  <si>
    <t>赵联英</t>
  </si>
  <si>
    <t>F950036147151705</t>
  </si>
  <si>
    <t>李万连</t>
  </si>
  <si>
    <t>F950036432308165</t>
  </si>
  <si>
    <t>任开前</t>
  </si>
  <si>
    <t>F950040027776724</t>
  </si>
  <si>
    <t>刘贵珍</t>
  </si>
  <si>
    <t>刘贵珍,任远均,任凌峰</t>
  </si>
  <si>
    <t>F950040120433121</t>
  </si>
  <si>
    <t>宋云金</t>
  </si>
  <si>
    <t>F950041155902295</t>
  </si>
  <si>
    <t>任海静</t>
  </si>
  <si>
    <t>F950041202308098</t>
  </si>
  <si>
    <t>任国友</t>
  </si>
  <si>
    <t>任国友,范贵珍,任远康</t>
  </si>
  <si>
    <t>F950041929964398</t>
  </si>
  <si>
    <t>胡其清</t>
  </si>
  <si>
    <t>F950044558401971</t>
  </si>
  <si>
    <t>任开元</t>
  </si>
  <si>
    <t>F956911403832414</t>
  </si>
  <si>
    <t>罗绍凤</t>
  </si>
  <si>
    <t>F988870853303648</t>
  </si>
  <si>
    <t>任启凤</t>
  </si>
  <si>
    <t>F027087680244818</t>
  </si>
  <si>
    <t>小河村委会</t>
  </si>
  <si>
    <t>王礼强</t>
  </si>
  <si>
    <t>F032794769806594</t>
  </si>
  <si>
    <t>肖贵珍</t>
  </si>
  <si>
    <t>F130949038138079</t>
  </si>
  <si>
    <t>邹朝建</t>
  </si>
  <si>
    <t>F312340961525742</t>
  </si>
  <si>
    <t>罗绍富</t>
  </si>
  <si>
    <t>罗云海,夏安飞,罗楚勇,罗浩宇,罗川金,罗绍富,罗柯雅</t>
  </si>
  <si>
    <t>F441098140431579</t>
  </si>
  <si>
    <t>邹代远</t>
  </si>
  <si>
    <t>邹代远,邹桃林,邹萍,陈友珍</t>
  </si>
  <si>
    <t>F683164992739727</t>
  </si>
  <si>
    <t>郭贻相</t>
  </si>
  <si>
    <t>F738416836674073</t>
  </si>
  <si>
    <t>罗文利</t>
  </si>
  <si>
    <t>罗文利,罗琳沿</t>
  </si>
  <si>
    <t>F865487929646203</t>
  </si>
  <si>
    <t>郭贻海</t>
  </si>
  <si>
    <t>郭贻海,张小芳,郭洪伟</t>
  </si>
  <si>
    <t>F914017633979901</t>
  </si>
  <si>
    <t>郭道智</t>
  </si>
  <si>
    <t>郭道智,郭祯银,郭祯荣,郭雨晴</t>
  </si>
  <si>
    <t>F949982166683595</t>
  </si>
  <si>
    <t>曾洪田</t>
  </si>
  <si>
    <t>F949982238714430</t>
  </si>
  <si>
    <t>黄明珍</t>
  </si>
  <si>
    <t>F949984014339108</t>
  </si>
  <si>
    <t>唐万财</t>
  </si>
  <si>
    <t>F949984228714659</t>
  </si>
  <si>
    <t>夏自容</t>
  </si>
  <si>
    <t>F949986009183207</t>
  </si>
  <si>
    <t>刘方全</t>
  </si>
  <si>
    <t>段绍银,刘冬梅,刘方全</t>
  </si>
  <si>
    <t>F949986129027012</t>
  </si>
  <si>
    <t>罗楚校</t>
  </si>
  <si>
    <t>F949990208245511</t>
  </si>
  <si>
    <t>童守金</t>
  </si>
  <si>
    <t>黄珍玖,童守金</t>
  </si>
  <si>
    <t>F949990220277126</t>
  </si>
  <si>
    <t>蔺文英</t>
  </si>
  <si>
    <t>F950011426682787</t>
  </si>
  <si>
    <t>巫世友</t>
  </si>
  <si>
    <t>F950011548714550</t>
  </si>
  <si>
    <t>曾洪开</t>
  </si>
  <si>
    <t>曾洪开,彭明秀</t>
  </si>
  <si>
    <t>F950013237308441</t>
  </si>
  <si>
    <t>邹登义</t>
  </si>
  <si>
    <t>胡千武,邹登义</t>
  </si>
  <si>
    <t>F950014361995704</t>
  </si>
  <si>
    <t>张廷贵</t>
  </si>
  <si>
    <t>F950015022776865</t>
  </si>
  <si>
    <t>车碧贵</t>
  </si>
  <si>
    <t>F950015744339340</t>
  </si>
  <si>
    <t>王燕秀</t>
  </si>
  <si>
    <t>F950016350121161</t>
  </si>
  <si>
    <t>李开芝</t>
  </si>
  <si>
    <t>F950016462307901</t>
  </si>
  <si>
    <t>夏治友</t>
  </si>
  <si>
    <t>夏涛,夏安国,夏治友</t>
  </si>
  <si>
    <t>F950018675590009</t>
  </si>
  <si>
    <t>陈胜秀</t>
  </si>
  <si>
    <t>F950024243401940</t>
  </si>
  <si>
    <t>胡章兴</t>
  </si>
  <si>
    <t>F950024299182979</t>
  </si>
  <si>
    <t>黄吉</t>
  </si>
  <si>
    <t>F950024812151702</t>
  </si>
  <si>
    <t>F950025058089621</t>
  </si>
  <si>
    <t>罗超银</t>
  </si>
  <si>
    <t>F950026012308048</t>
  </si>
  <si>
    <t>郭喜富</t>
  </si>
  <si>
    <t>郭喜富,罗玉莲,郭道富,郭林慧,郭椋平,邹朝英</t>
  </si>
  <si>
    <t>F950026515433455</t>
  </si>
  <si>
    <t>王良秀</t>
  </si>
  <si>
    <t>F950027029495508</t>
  </si>
  <si>
    <t>胡同春</t>
  </si>
  <si>
    <t>F950027097776846</t>
  </si>
  <si>
    <t>任开尤</t>
  </si>
  <si>
    <t>F950027997464265</t>
  </si>
  <si>
    <t>罗玉同</t>
  </si>
  <si>
    <t>刘应方,罗超富,罗玉同,罗超鱼</t>
  </si>
  <si>
    <t>F950028300120947</t>
  </si>
  <si>
    <t>罗超言</t>
  </si>
  <si>
    <t>罗超言,罗汉银</t>
  </si>
  <si>
    <t>F950028398402139</t>
  </si>
  <si>
    <t>赵福玉</t>
  </si>
  <si>
    <t>F950029074339410</t>
  </si>
  <si>
    <t>袁光友</t>
  </si>
  <si>
    <t>F950030277308139</t>
  </si>
  <si>
    <t>邹朝英</t>
  </si>
  <si>
    <t>潘晓玲,邹朝英,潘吉</t>
  </si>
  <si>
    <t>F950030280433428</t>
  </si>
  <si>
    <t>肖克远</t>
  </si>
  <si>
    <t>肖克远,陈亿,赵六琼</t>
  </si>
  <si>
    <t>F950030500433108</t>
  </si>
  <si>
    <t>郭鸿全</t>
  </si>
  <si>
    <t>F950032720589382</t>
  </si>
  <si>
    <t>刘平珍</t>
  </si>
  <si>
    <t>F950033048870755</t>
  </si>
  <si>
    <t>郭培根</t>
  </si>
  <si>
    <t>F950033795745896</t>
  </si>
  <si>
    <t>魏志华</t>
  </si>
  <si>
    <t>魏进军,魏志华,李金芝</t>
  </si>
  <si>
    <t>F950034243246117</t>
  </si>
  <si>
    <t>李清玉</t>
  </si>
  <si>
    <t>F950034490745457</t>
  </si>
  <si>
    <t>曾洪德</t>
  </si>
  <si>
    <t>F950034957620576</t>
  </si>
  <si>
    <t>F950036416839669</t>
  </si>
  <si>
    <t>邹朝全</t>
  </si>
  <si>
    <t>F950036719964407</t>
  </si>
  <si>
    <t>郭洪森</t>
  </si>
  <si>
    <t>曾雪梅,郭洪森,曾文才</t>
  </si>
  <si>
    <t>F950036831214024</t>
  </si>
  <si>
    <t>巫启凤</t>
  </si>
  <si>
    <t>F950037728558276</t>
  </si>
  <si>
    <t>柯凤珍</t>
  </si>
  <si>
    <t>F950037855433010</t>
  </si>
  <si>
    <t>F950037997464478</t>
  </si>
  <si>
    <t>陈均有</t>
  </si>
  <si>
    <t>陈阳,陈均有</t>
  </si>
  <si>
    <t>F950038075277332</t>
  </si>
  <si>
    <t>郑别亨</t>
  </si>
  <si>
    <t>F950038716370708</t>
  </si>
  <si>
    <t>罗绍庆</t>
  </si>
  <si>
    <t>F950038777152299</t>
  </si>
  <si>
    <t>杨昌容</t>
  </si>
  <si>
    <t>F950038836214318</t>
  </si>
  <si>
    <t>邹登第</t>
  </si>
  <si>
    <t>邹登第,彭连秀</t>
  </si>
  <si>
    <t>F950038975120653</t>
  </si>
  <si>
    <t>任荣芝</t>
  </si>
  <si>
    <t>F950040092620782</t>
  </si>
  <si>
    <t>徐方银</t>
  </si>
  <si>
    <t>F950042502464759</t>
  </si>
  <si>
    <t>李清秀</t>
  </si>
  <si>
    <t>F950042526058635</t>
  </si>
  <si>
    <t>郭贻珍</t>
  </si>
  <si>
    <t>郭贻珍,曾利有</t>
  </si>
  <si>
    <t>F950042918401582</t>
  </si>
  <si>
    <t>袁益珍</t>
  </si>
  <si>
    <t>F950042949339563</t>
  </si>
  <si>
    <t>邹登华</t>
  </si>
  <si>
    <t>F950043196995494</t>
  </si>
  <si>
    <t>宪其秀</t>
  </si>
  <si>
    <t>F950044165745723</t>
  </si>
  <si>
    <t>莫中银</t>
  </si>
  <si>
    <t>F954548247285213</t>
  </si>
  <si>
    <t>罗绍胜</t>
  </si>
  <si>
    <t>罗绍胜,罗川林,罗颖,李连凤</t>
  </si>
  <si>
    <t>F974992332419574</t>
  </si>
  <si>
    <t>肖显强</t>
  </si>
  <si>
    <t>刘芯宇,肖叶,黄月琴,肖显强</t>
  </si>
  <si>
    <t>F032786221056681</t>
  </si>
  <si>
    <t>岩湾村委会</t>
  </si>
  <si>
    <t>罗楚根</t>
  </si>
  <si>
    <t>余业秀,罗楚根</t>
  </si>
  <si>
    <t>F032791747775483</t>
  </si>
  <si>
    <t>郭贻伦</t>
  </si>
  <si>
    <t>F246178920756295</t>
  </si>
  <si>
    <t>胥炜茳</t>
  </si>
  <si>
    <t>F423451194935215</t>
  </si>
  <si>
    <t>胥大平</t>
  </si>
  <si>
    <t>胥大平,胥苌莎,赵大翠,胥琳静</t>
  </si>
  <si>
    <t>F579281851882151</t>
  </si>
  <si>
    <t>杨义强</t>
  </si>
  <si>
    <t>王燕琼,杨义强,杨明浩,杨吉怀,邱应秀,杨明煜,杨明星</t>
  </si>
  <si>
    <t>F580148294954879</t>
  </si>
  <si>
    <t>李年友</t>
  </si>
  <si>
    <t>F580150125112134</t>
  </si>
  <si>
    <t>胥大荣</t>
  </si>
  <si>
    <t>F615618596585804</t>
  </si>
  <si>
    <t>胥大均</t>
  </si>
  <si>
    <t>F655864687469236</t>
  </si>
  <si>
    <t>蒋世荣</t>
  </si>
  <si>
    <t>蒋世荣,潘绍秀</t>
  </si>
  <si>
    <t>F768898126890503</t>
  </si>
  <si>
    <t>江明珍</t>
  </si>
  <si>
    <t>郭瑞兮,罗雄飞,江明珍,郭佳欣</t>
  </si>
  <si>
    <t>F768904248397064</t>
  </si>
  <si>
    <t>刘忠财</t>
  </si>
  <si>
    <t>刘霞,马开兰,刘志强,刘忠财</t>
  </si>
  <si>
    <t>F894995322478107</t>
  </si>
  <si>
    <t>巫洪</t>
  </si>
  <si>
    <t>巫思雨,巫欣语,巫家兴,巫洪,巫鹏</t>
  </si>
  <si>
    <t>F949982169496029</t>
  </si>
  <si>
    <t>刘艮桂</t>
  </si>
  <si>
    <t>F949982406371109</t>
  </si>
  <si>
    <t>杨宗元</t>
  </si>
  <si>
    <t>杨宗元,杨膳铭,税有珍</t>
  </si>
  <si>
    <t>F949983992307991</t>
  </si>
  <si>
    <t>李泽沛</t>
  </si>
  <si>
    <t>F949986048245566</t>
  </si>
  <si>
    <t>胥大财</t>
  </si>
  <si>
    <t>胥大财,黄金凤</t>
  </si>
  <si>
    <t>F950011436370735</t>
  </si>
  <si>
    <t>刘建修</t>
  </si>
  <si>
    <t>F950011666839735</t>
  </si>
  <si>
    <t>李天珍</t>
  </si>
  <si>
    <t>F950012903089364</t>
  </si>
  <si>
    <t>杨世友</t>
  </si>
  <si>
    <t>黄正清,黄贵兵,杨世友,黄正洋,黄梦婷</t>
  </si>
  <si>
    <t>F950013764964321</t>
  </si>
  <si>
    <t>罗绍容</t>
  </si>
  <si>
    <t>F950015076682847</t>
  </si>
  <si>
    <t>李德杨</t>
  </si>
  <si>
    <t>F950015328245733</t>
  </si>
  <si>
    <t>胥大国</t>
  </si>
  <si>
    <t>F950015343089298</t>
  </si>
  <si>
    <t>杨宗学</t>
  </si>
  <si>
    <t>F950015381370365</t>
  </si>
  <si>
    <t>郭贻利</t>
  </si>
  <si>
    <t>F950015728245511</t>
  </si>
  <si>
    <t>李天金</t>
  </si>
  <si>
    <t>李天金,李林</t>
  </si>
  <si>
    <t>F950016402308524</t>
  </si>
  <si>
    <t>李泽银</t>
  </si>
  <si>
    <t>F950016523714691</t>
  </si>
  <si>
    <t>任国贵</t>
  </si>
  <si>
    <t>F950016542776743</t>
  </si>
  <si>
    <t>杨光秀</t>
  </si>
  <si>
    <t>任露,任国选,杨光秀</t>
  </si>
  <si>
    <t>F950016753714693</t>
  </si>
  <si>
    <t>任国英</t>
  </si>
  <si>
    <t>F950016769183304</t>
  </si>
  <si>
    <t>李廷华</t>
  </si>
  <si>
    <t>F950016777152221</t>
  </si>
  <si>
    <t>雷业南</t>
  </si>
  <si>
    <t>F950018630120557</t>
  </si>
  <si>
    <t>罗楚才</t>
  </si>
  <si>
    <t>吕杨平,罗楚才,杨修富,杨洋,杨燕</t>
  </si>
  <si>
    <t>F950018712308173</t>
  </si>
  <si>
    <t>罗绍修</t>
  </si>
  <si>
    <t>舒自珍,罗绍修</t>
  </si>
  <si>
    <t>F950020399651739</t>
  </si>
  <si>
    <t>廖思秀</t>
  </si>
  <si>
    <t>F950022752308519</t>
  </si>
  <si>
    <t>黄定秀</t>
  </si>
  <si>
    <t>F950024486682803</t>
  </si>
  <si>
    <t>赵成洪</t>
  </si>
  <si>
    <t>赵碧涵,赵成洪,赵碧畅,杨苹容</t>
  </si>
  <si>
    <t>F950025177464502</t>
  </si>
  <si>
    <t>蔡学银</t>
  </si>
  <si>
    <t>F950025945745705</t>
  </si>
  <si>
    <t>胥大明</t>
  </si>
  <si>
    <t>胥光发,胥大明,舒银珍,胥诗琪,胥思瑶,胥美玲</t>
  </si>
  <si>
    <t>F950026146839735</t>
  </si>
  <si>
    <t>F950026795901778</t>
  </si>
  <si>
    <t>江朝银</t>
  </si>
  <si>
    <t>江朝银,余大珍,江华锋</t>
  </si>
  <si>
    <t>F950027961527278</t>
  </si>
  <si>
    <t>郭洪富</t>
  </si>
  <si>
    <t>郭琼,郭洪富,郭艳,刘树梅,罗秀英</t>
  </si>
  <si>
    <t>F950027968089096</t>
  </si>
  <si>
    <t>聂世强</t>
  </si>
  <si>
    <t>F950028266527277</t>
  </si>
  <si>
    <t>F950028445277034</t>
  </si>
  <si>
    <t>郭贻俭</t>
  </si>
  <si>
    <t>F950028994183235</t>
  </si>
  <si>
    <t>李年富</t>
  </si>
  <si>
    <t>F950029016839662</t>
  </si>
  <si>
    <t>刘明帝</t>
  </si>
  <si>
    <t>刘明帝,熊杰</t>
  </si>
  <si>
    <t>F950029025589697</t>
  </si>
  <si>
    <t>李开星</t>
  </si>
  <si>
    <t>F950029105589213</t>
  </si>
  <si>
    <t>杨世平</t>
  </si>
  <si>
    <t>杨世平,罗绍秀</t>
  </si>
  <si>
    <t>F950029186683194</t>
  </si>
  <si>
    <t>罗楚文</t>
  </si>
  <si>
    <t>邱玉芬,罗楚文</t>
  </si>
  <si>
    <t>F950030399495749</t>
  </si>
  <si>
    <t>樊远连</t>
  </si>
  <si>
    <t>F950032439495396</t>
  </si>
  <si>
    <t>袁成秀</t>
  </si>
  <si>
    <t>F950032638402154</t>
  </si>
  <si>
    <t>杨修荣</t>
  </si>
  <si>
    <t>杨修荣,汤小红,蔡学红</t>
  </si>
  <si>
    <t>F950033041995541</t>
  </si>
  <si>
    <t>郭琴</t>
  </si>
  <si>
    <t>F950033891526874</t>
  </si>
  <si>
    <t>郭贻太</t>
  </si>
  <si>
    <t>郭洪礼,郭贻太,郭玲静,郭喆登</t>
  </si>
  <si>
    <t>F950034290433886</t>
  </si>
  <si>
    <t>郭贻坤</t>
  </si>
  <si>
    <t>郭贻坤,郭洪升,陈录莲</t>
  </si>
  <si>
    <t>F950034445901939</t>
  </si>
  <si>
    <t>蔡学介</t>
  </si>
  <si>
    <t>蔡学介,蔡瑁</t>
  </si>
  <si>
    <t>F950034861995344</t>
  </si>
  <si>
    <t>童超芬</t>
  </si>
  <si>
    <t>F950036177621682</t>
  </si>
  <si>
    <t>郭培银</t>
  </si>
  <si>
    <t>F950036393088962</t>
  </si>
  <si>
    <t>罗楚康</t>
  </si>
  <si>
    <t>罗楚康,罗贵金</t>
  </si>
  <si>
    <t>F950036932620412</t>
  </si>
  <si>
    <t>王国芝</t>
  </si>
  <si>
    <t>王国芝,李德愧,李道江</t>
  </si>
  <si>
    <t>F950036959495836</t>
  </si>
  <si>
    <t>刘京琼</t>
  </si>
  <si>
    <t>刘京琼,王飞燕,王林兵,王尧荣,王秋蓉</t>
  </si>
  <si>
    <t>F950037938558114</t>
  </si>
  <si>
    <t>李德蓝</t>
  </si>
  <si>
    <t>黄金全,李德蓝</t>
  </si>
  <si>
    <t>F950038773870322</t>
  </si>
  <si>
    <t>魏武清</t>
  </si>
  <si>
    <t>F950040858401912</t>
  </si>
  <si>
    <t>蔡国望</t>
  </si>
  <si>
    <t>F950041261058710</t>
  </si>
  <si>
    <t>杨永坤</t>
  </si>
  <si>
    <t>F950041859339571</t>
  </si>
  <si>
    <t>聂世华</t>
  </si>
  <si>
    <t>F950042028714433</t>
  </si>
  <si>
    <t>聂世洪</t>
  </si>
  <si>
    <t>F950042755433354</t>
  </si>
  <si>
    <t>罗万秀</t>
  </si>
  <si>
    <t>F950042772469723</t>
  </si>
  <si>
    <t>罗绍永</t>
  </si>
  <si>
    <t>F048973207864426</t>
  </si>
  <si>
    <t>卡防村委会</t>
  </si>
  <si>
    <t>梁正秀</t>
  </si>
  <si>
    <t>F048979643951733</t>
  </si>
  <si>
    <t>潘绍君</t>
  </si>
  <si>
    <t>罗翠蓉,潘绍君</t>
  </si>
  <si>
    <t>F242760581291675</t>
  </si>
  <si>
    <t>安义富</t>
  </si>
  <si>
    <t>安义富,安帅,安世武,杜文珍,安国斌</t>
  </si>
  <si>
    <t>F340139406984087</t>
  </si>
  <si>
    <t>钟省</t>
  </si>
  <si>
    <t>F604768250725342</t>
  </si>
  <si>
    <t>潘华发</t>
  </si>
  <si>
    <t>潘绍红,宋家美,潘绍琪,潘华发,陈照兴,潘福强</t>
  </si>
  <si>
    <t>F865474004865028</t>
  </si>
  <si>
    <t>聂世全</t>
  </si>
  <si>
    <t>罗宁娥,赵炳珍,聂世全,聂昌雄</t>
  </si>
  <si>
    <t>F865848454381951</t>
  </si>
  <si>
    <t>徐世洪</t>
  </si>
  <si>
    <t>徐东,徐世洪</t>
  </si>
  <si>
    <t>F949982212464558</t>
  </si>
  <si>
    <t>F949990211370840</t>
  </si>
  <si>
    <t>杜永玉</t>
  </si>
  <si>
    <t>F950011650745399</t>
  </si>
  <si>
    <t>纪俊</t>
  </si>
  <si>
    <t>纪俊,纪贞阳</t>
  </si>
  <si>
    <t>F950013187777241</t>
  </si>
  <si>
    <t>唐万会</t>
  </si>
  <si>
    <t>F950013329964536</t>
  </si>
  <si>
    <t>古再友</t>
  </si>
  <si>
    <t>F950015133558188</t>
  </si>
  <si>
    <t>李泽根</t>
  </si>
  <si>
    <t>雷正红,李滢山,李泽根,刘应弟,李亚玲</t>
  </si>
  <si>
    <t>F950020691995979</t>
  </si>
  <si>
    <t>王林保</t>
  </si>
  <si>
    <t>F950022382776837</t>
  </si>
  <si>
    <t>廖洪</t>
  </si>
  <si>
    <t>F950024304808194</t>
  </si>
  <si>
    <t>陈国清</t>
  </si>
  <si>
    <t>F950024920432946</t>
  </si>
  <si>
    <t>李国太</t>
  </si>
  <si>
    <t>李泽平,李泽强,李国太</t>
  </si>
  <si>
    <t>F950025154496070</t>
  </si>
  <si>
    <t>刘长富</t>
  </si>
  <si>
    <t>F950025896526884</t>
  </si>
  <si>
    <t>段绍绪</t>
  </si>
  <si>
    <t>陈志旭,段红,段绍绪</t>
  </si>
  <si>
    <t>F950026768245865</t>
  </si>
  <si>
    <t>宋云相</t>
  </si>
  <si>
    <t>宋云相,宋国红,邱崇磊,邱崇俊</t>
  </si>
  <si>
    <t>F950028165745912</t>
  </si>
  <si>
    <t>宋云全</t>
  </si>
  <si>
    <t>唐英,宋云全,宋帅欣,宋国富</t>
  </si>
  <si>
    <t>F950028514182749</t>
  </si>
  <si>
    <t>黄久凤</t>
  </si>
  <si>
    <t>F950028574495612</t>
  </si>
  <si>
    <t>陈国秀</t>
  </si>
  <si>
    <t>宋梦婷,陈国秀,宋国林,宋涛</t>
  </si>
  <si>
    <t>F950028869495659</t>
  </si>
  <si>
    <t>车国涛</t>
  </si>
  <si>
    <t>车国涛,安世珍</t>
  </si>
  <si>
    <t>F950029178245695</t>
  </si>
  <si>
    <t>潘复秀</t>
  </si>
  <si>
    <t>李忠,李金辉,潘复秀</t>
  </si>
  <si>
    <t>F950029211527259</t>
  </si>
  <si>
    <t>徐全福</t>
  </si>
  <si>
    <t>F950029761058643</t>
  </si>
  <si>
    <t>刘长洪</t>
  </si>
  <si>
    <t>F950030595901745</t>
  </si>
  <si>
    <t>黄加全</t>
  </si>
  <si>
    <t>F950030620901905</t>
  </si>
  <si>
    <t>黄加莲</t>
  </si>
  <si>
    <t>F950033816683079</t>
  </si>
  <si>
    <t>虞启发</t>
  </si>
  <si>
    <t>虞启发,黄成才</t>
  </si>
  <si>
    <t>F950035155589522</t>
  </si>
  <si>
    <t>徐成</t>
  </si>
  <si>
    <t>徐成,任开卯</t>
  </si>
  <si>
    <t>F950035924026953</t>
  </si>
  <si>
    <t>朱兴贵</t>
  </si>
  <si>
    <t>F950036050120471</t>
  </si>
  <si>
    <t>苏再兴</t>
  </si>
  <si>
    <t>F950036231370914</t>
  </si>
  <si>
    <t>张胜强</t>
  </si>
  <si>
    <t>F950036340433056</t>
  </si>
  <si>
    <t>龚玉方,彭明贵</t>
  </si>
  <si>
    <t>F950037051370707</t>
  </si>
  <si>
    <t>周光糠</t>
  </si>
  <si>
    <t>F950037169808608</t>
  </si>
  <si>
    <t>任远根</t>
  </si>
  <si>
    <t>F950037765745668</t>
  </si>
  <si>
    <t>周渝杭</t>
  </si>
  <si>
    <t>F950038980902175</t>
  </si>
  <si>
    <t>吕大明</t>
  </si>
  <si>
    <t>陈学容,吕大明</t>
  </si>
  <si>
    <t>F950039746214460</t>
  </si>
  <si>
    <t>潘绍秀</t>
  </si>
  <si>
    <t>F950039883089739</t>
  </si>
  <si>
    <t>梁正桃</t>
  </si>
  <si>
    <t>F950040084651969</t>
  </si>
  <si>
    <t>万国庆</t>
  </si>
  <si>
    <t>万国庆,周光前,周云志</t>
  </si>
  <si>
    <t>F950040611370253</t>
  </si>
  <si>
    <t>张晓利</t>
  </si>
  <si>
    <t>张沁月,任俊清,张晓利,陈启秀</t>
  </si>
  <si>
    <t>F950041001526812</t>
  </si>
  <si>
    <t>蔺文秀</t>
  </si>
  <si>
    <t>F950043046214900</t>
  </si>
  <si>
    <t>陈学友</t>
  </si>
  <si>
    <t>F960374901224010</t>
  </si>
  <si>
    <t>巫玉英</t>
  </si>
  <si>
    <t>F970605912743810</t>
  </si>
  <si>
    <t>杨天金</t>
  </si>
  <si>
    <t>杨超,杨玲,杨天金,李作美</t>
  </si>
  <si>
    <t>F995444895342326</t>
  </si>
  <si>
    <t>先加右</t>
  </si>
  <si>
    <t>先青山,黄成凤,先柯亲,先加右</t>
  </si>
  <si>
    <t>F015464013245424</t>
  </si>
  <si>
    <t>太和村委会</t>
  </si>
  <si>
    <t>黄久江</t>
  </si>
  <si>
    <t>邱雪平,杨玉芝,邱健宁,黄久江</t>
  </si>
  <si>
    <t>F203526669731814</t>
  </si>
  <si>
    <t>邓强</t>
  </si>
  <si>
    <t>邓强,邓六明,梁国珍</t>
  </si>
  <si>
    <t>F245479834467250</t>
  </si>
  <si>
    <t>邱昌学</t>
  </si>
  <si>
    <t>邱昌学,兰永琼,邱丹</t>
  </si>
  <si>
    <t>F245541427905323</t>
  </si>
  <si>
    <t>蔺远旭</t>
  </si>
  <si>
    <t>万世先,蔺波,蔺晓岚,蔺远旭,蔺强,蔺爽</t>
  </si>
  <si>
    <t>F245549140561242</t>
  </si>
  <si>
    <t>赵联幼</t>
  </si>
  <si>
    <t>赵联幼,陈平,赵微菠</t>
  </si>
  <si>
    <t>F245566212592044</t>
  </si>
  <si>
    <t>黄文祥</t>
  </si>
  <si>
    <t>黄文祥,赵大琼,黄成学,黄茂萍</t>
  </si>
  <si>
    <t>F549090556411809</t>
  </si>
  <si>
    <t>李红英</t>
  </si>
  <si>
    <t>李红英,黎小宇,黎青强</t>
  </si>
  <si>
    <t>F580153183239530</t>
  </si>
  <si>
    <t>邱应志</t>
  </si>
  <si>
    <t>张阿吉,邱建军,邱梦平,黄加凤,邱应志,邱美铃,邱雄吉</t>
  </si>
  <si>
    <t>F949982128089255</t>
  </si>
  <si>
    <t>夏安贵</t>
  </si>
  <si>
    <t>F949982451370781</t>
  </si>
  <si>
    <t>谢秀容</t>
  </si>
  <si>
    <t>F949984066526802</t>
  </si>
  <si>
    <t>赵伟羊</t>
  </si>
  <si>
    <t>F949986017464537</t>
  </si>
  <si>
    <t>赵碧宏</t>
  </si>
  <si>
    <t>赵碧宏,赵成树</t>
  </si>
  <si>
    <t>F949988240745691</t>
  </si>
  <si>
    <t>周朝盛</t>
  </si>
  <si>
    <t>姜荣凤,周朝盛</t>
  </si>
  <si>
    <t>F949990317308300</t>
  </si>
  <si>
    <t>巫良根</t>
  </si>
  <si>
    <t>巫良根,李廷香</t>
  </si>
  <si>
    <t>F950009660746000</t>
  </si>
  <si>
    <t>王德富</t>
  </si>
  <si>
    <t>F950014670276701</t>
  </si>
  <si>
    <t>赵成全</t>
  </si>
  <si>
    <t>赵成全,曾凤秀</t>
  </si>
  <si>
    <t>F950015141995716</t>
  </si>
  <si>
    <t>陈启明</t>
  </si>
  <si>
    <t>F950015786839990</t>
  </si>
  <si>
    <t>夏玉芝</t>
  </si>
  <si>
    <t>F950016330120855</t>
  </si>
  <si>
    <t>杨玉秀</t>
  </si>
  <si>
    <t>杨玉秀,邱昌君</t>
  </si>
  <si>
    <t>F950016363558332</t>
  </si>
  <si>
    <t>陈世玉</t>
  </si>
  <si>
    <t>陈世玉,巫言芬</t>
  </si>
  <si>
    <t>F950016774495762</t>
  </si>
  <si>
    <t>费中强</t>
  </si>
  <si>
    <t>F950018529339181</t>
  </si>
  <si>
    <t>余学贵</t>
  </si>
  <si>
    <t>F950018581683536</t>
  </si>
  <si>
    <t>邬天均</t>
  </si>
  <si>
    <t>万德英,邬天均</t>
  </si>
  <si>
    <t>F950018611214376</t>
  </si>
  <si>
    <t>黄方银</t>
  </si>
  <si>
    <t>黄方银,夏生秀</t>
  </si>
  <si>
    <t>F950018732933331</t>
  </si>
  <si>
    <t>赵一魁</t>
  </si>
  <si>
    <t>F950020366686220</t>
  </si>
  <si>
    <t>杨胜兵</t>
  </si>
  <si>
    <t>F950020625901618</t>
  </si>
  <si>
    <t>陈世富</t>
  </si>
  <si>
    <t>贺明香,陈世富</t>
  </si>
  <si>
    <t>F950020682620379</t>
  </si>
  <si>
    <t>陈世杰</t>
  </si>
  <si>
    <t>陈世杰,陈治雄</t>
  </si>
  <si>
    <t>F950022437308233</t>
  </si>
  <si>
    <t>余崇信</t>
  </si>
  <si>
    <t>周德英,余崇信</t>
  </si>
  <si>
    <t>F950022489183039</t>
  </si>
  <si>
    <t>黄成信</t>
  </si>
  <si>
    <t>赵明秀,黄成信,黄郭宇,郭小红</t>
  </si>
  <si>
    <t>F950022656995362</t>
  </si>
  <si>
    <t>赵联洲</t>
  </si>
  <si>
    <t>F950024141057777</t>
  </si>
  <si>
    <t>龚朝清</t>
  </si>
  <si>
    <t>龚朝清,龚万强,龚世林,任中芬,易友全</t>
  </si>
  <si>
    <t>F950024236995926</t>
  </si>
  <si>
    <t>杨炳珍</t>
  </si>
  <si>
    <t>F950024658245714</t>
  </si>
  <si>
    <t>李坤</t>
  </si>
  <si>
    <t>李坤,杜成兰</t>
  </si>
  <si>
    <t>F950025902308028</t>
  </si>
  <si>
    <t>李先秀</t>
  </si>
  <si>
    <t>钟世贵,李先秀,廖庭珍,喻倩茹</t>
  </si>
  <si>
    <t>F950026564183243</t>
  </si>
  <si>
    <t>赵联绪</t>
  </si>
  <si>
    <t>F950026630589595</t>
  </si>
  <si>
    <t>邱龙学</t>
  </si>
  <si>
    <t>邹登惠,邱东,邱龙学</t>
  </si>
  <si>
    <t>F950026718870785</t>
  </si>
  <si>
    <t>蔡仁贵</t>
  </si>
  <si>
    <t>郭贻秀,蔡荣友,蔡仁贵</t>
  </si>
  <si>
    <t>F950026730433229</t>
  </si>
  <si>
    <t>周胜和</t>
  </si>
  <si>
    <t>周胜和,周春</t>
  </si>
  <si>
    <t>F950026782464566</t>
  </si>
  <si>
    <t>廖宗有</t>
  </si>
  <si>
    <t>廖宗有,杨清亮</t>
  </si>
  <si>
    <t>F950026799183386</t>
  </si>
  <si>
    <t>朱永成</t>
  </si>
  <si>
    <t>F950026935276773</t>
  </si>
  <si>
    <t>周贵珍</t>
  </si>
  <si>
    <t>F950027813558015</t>
  </si>
  <si>
    <t>赵成光</t>
  </si>
  <si>
    <t>F950027927776713</t>
  </si>
  <si>
    <t>张金树</t>
  </si>
  <si>
    <t>张晓娟,张金树,张磊</t>
  </si>
  <si>
    <t>F950027984183160</t>
  </si>
  <si>
    <t>F950028787933609</t>
  </si>
  <si>
    <t>邱龙清</t>
  </si>
  <si>
    <t>邱燕,邱龙清,邱信中,彭英</t>
  </si>
  <si>
    <t>F950029195589235</t>
  </si>
  <si>
    <t>徐正芳</t>
  </si>
  <si>
    <t>周兴浩,周军,徐正芳</t>
  </si>
  <si>
    <t>F950030197308407</t>
  </si>
  <si>
    <t>黄久刚</t>
  </si>
  <si>
    <t>黄施平,黄宏,黄久刚,蔺程水</t>
  </si>
  <si>
    <t>F950030590589232</t>
  </si>
  <si>
    <t>黄厚刚</t>
  </si>
  <si>
    <t>F950031914339366</t>
  </si>
  <si>
    <t>赵成鲜</t>
  </si>
  <si>
    <t>赵成鲜,赵成山,赵成会</t>
  </si>
  <si>
    <t>F950032485120646</t>
  </si>
  <si>
    <t>邱旭琼</t>
  </si>
  <si>
    <t>邱旭琼,杨旭东</t>
  </si>
  <si>
    <t>F950032796683428</t>
  </si>
  <si>
    <t>赵成强</t>
  </si>
  <si>
    <t>F950032876058170</t>
  </si>
  <si>
    <t>赵成金</t>
  </si>
  <si>
    <t>F950034192776930</t>
  </si>
  <si>
    <t>余华兴</t>
  </si>
  <si>
    <t>F950035017308030</t>
  </si>
  <si>
    <t>陈国祥</t>
  </si>
  <si>
    <t>陈国祥,余华琼</t>
  </si>
  <si>
    <t>F950035887151898</t>
  </si>
  <si>
    <t>宋正华</t>
  </si>
  <si>
    <t>宋正华,张再军,杨圣容,张莉苹</t>
  </si>
  <si>
    <t>F950037755745794</t>
  </si>
  <si>
    <t>赵成明</t>
  </si>
  <si>
    <t>F950038081839552</t>
  </si>
  <si>
    <t>黄成贵</t>
  </si>
  <si>
    <t>F950038195433418</t>
  </si>
  <si>
    <t>车立金</t>
  </si>
  <si>
    <t>F950038916527291</t>
  </si>
  <si>
    <t>兰志珍</t>
  </si>
  <si>
    <t>F950040130901665</t>
  </si>
  <si>
    <t>周高英</t>
  </si>
  <si>
    <t>F950040549808241</t>
  </si>
  <si>
    <t>吴俊杰</t>
  </si>
  <si>
    <t>F950040797308166</t>
  </si>
  <si>
    <t>邱隆清</t>
  </si>
  <si>
    <t>邱昌红,邱隆清</t>
  </si>
  <si>
    <t>F950040811683418</t>
  </si>
  <si>
    <t>任清贵</t>
  </si>
  <si>
    <t>任清贵,王桂珍</t>
  </si>
  <si>
    <t>F950040978089614</t>
  </si>
  <si>
    <t>赵成荣</t>
  </si>
  <si>
    <t>F950041983714297</t>
  </si>
  <si>
    <t>赵成兵</t>
  </si>
  <si>
    <t>F950041986214897</t>
  </si>
  <si>
    <t>陈世刚</t>
  </si>
  <si>
    <t>陈世刚,江桂珍</t>
  </si>
  <si>
    <t>F950041989183637</t>
  </si>
  <si>
    <t>吴方旭</t>
  </si>
  <si>
    <t>吴方旭,杨世秀</t>
  </si>
  <si>
    <t>F950042051215006</t>
  </si>
  <si>
    <t>王永明</t>
  </si>
  <si>
    <t>王永明,王英</t>
  </si>
  <si>
    <t>F950042475901802</t>
  </si>
  <si>
    <t>李家全</t>
  </si>
  <si>
    <t>F950042480589581</t>
  </si>
  <si>
    <t>赵联富</t>
  </si>
  <si>
    <t>F950042579339462</t>
  </si>
  <si>
    <t>巫良军</t>
  </si>
  <si>
    <t>巫良军,巫言旭</t>
  </si>
  <si>
    <t>F950043060589515</t>
  </si>
  <si>
    <t>周朝武</t>
  </si>
  <si>
    <t>周朝武,覃文珍,周普家</t>
  </si>
  <si>
    <t>F950043240902202</t>
  </si>
  <si>
    <t>赵春魁</t>
  </si>
  <si>
    <t>F950043346214653</t>
  </si>
  <si>
    <t>陈荣宽</t>
  </si>
  <si>
    <t>F958648200203625</t>
  </si>
  <si>
    <t>罗功华</t>
  </si>
  <si>
    <t>曾燕,罗曾丽,罗功华,罗先成,罗椿梅,罗欢欢</t>
  </si>
  <si>
    <t>F974396395244444</t>
  </si>
  <si>
    <t>赵东</t>
  </si>
  <si>
    <t>赵东,赵羽,赵敏,赵义红</t>
  </si>
  <si>
    <t>F988839170012822</t>
  </si>
  <si>
    <t>宋远祥</t>
  </si>
  <si>
    <t>F214407402591043</t>
  </si>
  <si>
    <t>宋村村委会</t>
  </si>
  <si>
    <t>杜永万</t>
  </si>
  <si>
    <t>F214409108841499</t>
  </si>
  <si>
    <t>宋洪</t>
  </si>
  <si>
    <t>F528040248601377</t>
  </si>
  <si>
    <t>聂世君</t>
  </si>
  <si>
    <t>周胜林,聂世君</t>
  </si>
  <si>
    <t>F683168523677176</t>
  </si>
  <si>
    <t>赵海</t>
  </si>
  <si>
    <t>F759581108814411</t>
  </si>
  <si>
    <t>刘玉双</t>
  </si>
  <si>
    <t>杨圣琼,刘佳欣,刘海材,刘玉双</t>
  </si>
  <si>
    <t>F949982294652232</t>
  </si>
  <si>
    <t>刘明学</t>
  </si>
  <si>
    <t>F949982423557883</t>
  </si>
  <si>
    <t>舒崇秀</t>
  </si>
  <si>
    <t>F949984393089430</t>
  </si>
  <si>
    <t>F950011335589534</t>
  </si>
  <si>
    <t>彭富德</t>
  </si>
  <si>
    <t>F950011684495872</t>
  </si>
  <si>
    <t>陈琴高</t>
  </si>
  <si>
    <t>陈琴高,陈洪</t>
  </si>
  <si>
    <t>F950012850277058</t>
  </si>
  <si>
    <t>田兴贵</t>
  </si>
  <si>
    <t>胥桂珍,田华斌,田兴贵</t>
  </si>
  <si>
    <t>F950013493245404</t>
  </si>
  <si>
    <t>张国珍</t>
  </si>
  <si>
    <t>张国珍,任荣光,巫启红</t>
  </si>
  <si>
    <t>F950013610120544</t>
  </si>
  <si>
    <t>邱应第</t>
  </si>
  <si>
    <t>F950013671683590</t>
  </si>
  <si>
    <t>宋兴全</t>
  </si>
  <si>
    <t>宋兴全,宋云白</t>
  </si>
  <si>
    <t>F950014599026595</t>
  </si>
  <si>
    <t>巫仕富</t>
  </si>
  <si>
    <t>F950015384026912</t>
  </si>
  <si>
    <t>李先芝</t>
  </si>
  <si>
    <t>李先芝,邱天</t>
  </si>
  <si>
    <t>F950015394339593</t>
  </si>
  <si>
    <t>陈细相</t>
  </si>
  <si>
    <t>童守华,陈细相,冯银珍</t>
  </si>
  <si>
    <t>F950015420745882</t>
  </si>
  <si>
    <t>文有珍</t>
  </si>
  <si>
    <t>F950015525120397</t>
  </si>
  <si>
    <t>彭德柱</t>
  </si>
  <si>
    <t>巫长珍,彭权桢,彭广娟,彭德柱,张天分</t>
  </si>
  <si>
    <t>F950015626527228</t>
  </si>
  <si>
    <t>周朝秀</t>
  </si>
  <si>
    <t>F950016322620626</t>
  </si>
  <si>
    <t>雷显金</t>
  </si>
  <si>
    <t>雷显金,彭全德</t>
  </si>
  <si>
    <t>F950016340745725</t>
  </si>
  <si>
    <t>杨贵武</t>
  </si>
  <si>
    <t>F950016448714487</t>
  </si>
  <si>
    <t>聂世贵</t>
  </si>
  <si>
    <t>聂家豪,聂世均,聂世银,聂世贵,张远珍</t>
  </si>
  <si>
    <t>F950018340120841</t>
  </si>
  <si>
    <t>杜永珍</t>
  </si>
  <si>
    <t>杜永珍,杨世理</t>
  </si>
  <si>
    <t>F950018454182987</t>
  </si>
  <si>
    <t>彭荟铭</t>
  </si>
  <si>
    <t>彭荟铭,彭沿菁,彭广成,夏安蓉</t>
  </si>
  <si>
    <t>F950020440276991</t>
  </si>
  <si>
    <t>雷业珍</t>
  </si>
  <si>
    <t>F950020583245701</t>
  </si>
  <si>
    <t>巫长宇,邹登洪</t>
  </si>
  <si>
    <t>F950024307308042</t>
  </si>
  <si>
    <t>王露</t>
  </si>
  <si>
    <t>F950024425589779</t>
  </si>
  <si>
    <t>周云秀</t>
  </si>
  <si>
    <t>周云秀,余成强,余仲文</t>
  </si>
  <si>
    <t>F950024458245454</t>
  </si>
  <si>
    <t>尹会容</t>
  </si>
  <si>
    <t>尹会容,蔺文坤</t>
  </si>
  <si>
    <t>F950024863245433</t>
  </si>
  <si>
    <t>雷阳勇</t>
  </si>
  <si>
    <t>F950024980589456</t>
  </si>
  <si>
    <t>李德玉</t>
  </si>
  <si>
    <t>F950025096839123</t>
  </si>
  <si>
    <t>宋兴秀</t>
  </si>
  <si>
    <t>宋兴秀,何智豪</t>
  </si>
  <si>
    <t>F950026488245991</t>
  </si>
  <si>
    <t>周显玉</t>
  </si>
  <si>
    <t>F950026572151753</t>
  </si>
  <si>
    <t>袁立成</t>
  </si>
  <si>
    <t>F950026671058044</t>
  </si>
  <si>
    <t>巫长城</t>
  </si>
  <si>
    <t>巫长城,鄢万秀</t>
  </si>
  <si>
    <t>F950026748245772</t>
  </si>
  <si>
    <t>任荣忠</t>
  </si>
  <si>
    <t>任荣忠,彭德香,任强</t>
  </si>
  <si>
    <t>F950026831995705</t>
  </si>
  <si>
    <t>彭德芳</t>
  </si>
  <si>
    <t>辜晓琼,彭德芳</t>
  </si>
  <si>
    <t>F950028016526872</t>
  </si>
  <si>
    <t>王银珍</t>
  </si>
  <si>
    <t>F950028194027076</t>
  </si>
  <si>
    <t>宋兴云</t>
  </si>
  <si>
    <t>张再兴,宋兴云,宋春梅</t>
  </si>
  <si>
    <t>F950029091526831</t>
  </si>
  <si>
    <t>F950029819808398</t>
  </si>
  <si>
    <t>邱应科</t>
  </si>
  <si>
    <t>F950029873089584</t>
  </si>
  <si>
    <t>吴方兴,吴方贵,黄明珍</t>
  </si>
  <si>
    <t>F950029999026848</t>
  </si>
  <si>
    <t>邱应荣</t>
  </si>
  <si>
    <t>F950032121839575</t>
  </si>
  <si>
    <t>王清秀</t>
  </si>
  <si>
    <t>F950032219339770</t>
  </si>
  <si>
    <t>吴方金</t>
  </si>
  <si>
    <t>吴方金,吴明胜</t>
  </si>
  <si>
    <t>F950033765433422</t>
  </si>
  <si>
    <t>夏治泽</t>
  </si>
  <si>
    <t>夏治泽,夏安君,夏邓颖</t>
  </si>
  <si>
    <t>F950033982620431</t>
  </si>
  <si>
    <t>杨世森</t>
  </si>
  <si>
    <t>杨世森,杨羿川</t>
  </si>
  <si>
    <t>F950034199182953</t>
  </si>
  <si>
    <t>彭显银</t>
  </si>
  <si>
    <t>F950034723557851</t>
  </si>
  <si>
    <t>蔺文亨</t>
  </si>
  <si>
    <t>F950034934807918</t>
  </si>
  <si>
    <t>张显全</t>
  </si>
  <si>
    <t>雷显进,张显全</t>
  </si>
  <si>
    <t>F950035805276561</t>
  </si>
  <si>
    <t>任科尤</t>
  </si>
  <si>
    <t>任荣伦,任科尤,郭培元,任子珊</t>
  </si>
  <si>
    <t>F950035866370770</t>
  </si>
  <si>
    <t>巫民</t>
  </si>
  <si>
    <t>F950036000277348</t>
  </si>
  <si>
    <t>李鱼明</t>
  </si>
  <si>
    <t>陈国群,李鱼明</t>
  </si>
  <si>
    <t>F950036040120555</t>
  </si>
  <si>
    <t>夏安乐</t>
  </si>
  <si>
    <t>夏承鑫,夏承巍,夏安乐</t>
  </si>
  <si>
    <t>F950036676214240</t>
  </si>
  <si>
    <t>彭显根</t>
  </si>
  <si>
    <t>彭显根,彭云金</t>
  </si>
  <si>
    <t>F950036975433517</t>
  </si>
  <si>
    <t>巫世贵</t>
  </si>
  <si>
    <t>费福珍,巫世贵</t>
  </si>
  <si>
    <t>F950038318714447</t>
  </si>
  <si>
    <t>巫长培</t>
  </si>
  <si>
    <t>杨晓琼,巫长培,巫叶利</t>
  </si>
  <si>
    <t>F950038762620762</t>
  </si>
  <si>
    <t>邱应华</t>
  </si>
  <si>
    <t>F950038795746286</t>
  </si>
  <si>
    <t>邱应育</t>
  </si>
  <si>
    <t>F950039815120661</t>
  </si>
  <si>
    <t>曾建</t>
  </si>
  <si>
    <t>F950039918558539</t>
  </si>
  <si>
    <t>杨立秀</t>
  </si>
  <si>
    <t>F950040049964059</t>
  </si>
  <si>
    <t>杨道芳</t>
  </si>
  <si>
    <t>F950040342151974</t>
  </si>
  <si>
    <t>王怀银</t>
  </si>
  <si>
    <t>张明秀,王怀银</t>
  </si>
  <si>
    <t>F950040393089558</t>
  </si>
  <si>
    <t>邱龙泽</t>
  </si>
  <si>
    <t>邱龙泽,邱钢</t>
  </si>
  <si>
    <t>F950042274964664</t>
  </si>
  <si>
    <t>古朝辉</t>
  </si>
  <si>
    <t>F950042499495922</t>
  </si>
  <si>
    <t>邱华武</t>
  </si>
  <si>
    <t>邱华武,李世珍</t>
  </si>
  <si>
    <t>F950042635745572</t>
  </si>
  <si>
    <t>岑万芝</t>
  </si>
  <si>
    <t>岑万芝,任岩,任杰,任云贵</t>
  </si>
  <si>
    <t>F950042680901910</t>
  </si>
  <si>
    <t>F950043011839072</t>
  </si>
  <si>
    <t>彭后桃</t>
  </si>
  <si>
    <t>蒋仕珍,彭后桃,彭小洋,彭兴权</t>
  </si>
  <si>
    <t>F950044118558188</t>
  </si>
  <si>
    <t>赵联兴</t>
  </si>
  <si>
    <t>F950044252307770</t>
  </si>
  <si>
    <t>胡友珍</t>
  </si>
  <si>
    <t>F950044262151557</t>
  </si>
  <si>
    <t>巫长佑</t>
  </si>
  <si>
    <t>F950044786370445</t>
  </si>
  <si>
    <t>周胜容</t>
  </si>
  <si>
    <t>F950044864495965</t>
  </si>
  <si>
    <t>宋芝月</t>
  </si>
  <si>
    <t>F020859759342757</t>
  </si>
  <si>
    <t>底堡乡</t>
  </si>
  <si>
    <t>五通村委会</t>
  </si>
  <si>
    <t>曾德先</t>
  </si>
  <si>
    <t>曾豪杰,曾德先,卢光秀,曾小彬,曾爽</t>
  </si>
  <si>
    <t>F121405894135454</t>
  </si>
  <si>
    <t>王治奎</t>
  </si>
  <si>
    <t>王治奎,王柏清,李德平</t>
  </si>
  <si>
    <t>F249300838255503</t>
  </si>
  <si>
    <t>黄素琼</t>
  </si>
  <si>
    <t>王文彬,王铃,黄素琼,王丽春</t>
  </si>
  <si>
    <t>F249304100639510</t>
  </si>
  <si>
    <t>胡希环</t>
  </si>
  <si>
    <t>胡希环,粟永秀,胡绍容</t>
  </si>
  <si>
    <t>F385755140091717</t>
  </si>
  <si>
    <t>刘勇强</t>
  </si>
  <si>
    <t>F385931562526978</t>
  </si>
  <si>
    <t>余元发</t>
  </si>
  <si>
    <t>邹永连,余顺利,余有强,余元树,余元清,胡克兴,余元发,余小容,余忠富</t>
  </si>
  <si>
    <t>F540999578122827</t>
  </si>
  <si>
    <t>邓国富</t>
  </si>
  <si>
    <t>邓祥兵,邓国富</t>
  </si>
  <si>
    <t>F602738631037827</t>
  </si>
  <si>
    <t>李伦春</t>
  </si>
  <si>
    <t>F627801847679605</t>
  </si>
  <si>
    <t>翁永贵</t>
  </si>
  <si>
    <t>F629975545074908</t>
  </si>
  <si>
    <t>牟云付</t>
  </si>
  <si>
    <t>牟云付,何艺强,何世友</t>
  </si>
  <si>
    <t>F629980389010476</t>
  </si>
  <si>
    <t>张成兵</t>
  </si>
  <si>
    <t>张埸芳,张成兵</t>
  </si>
  <si>
    <t>F894692486303176</t>
  </si>
  <si>
    <t>卢光平</t>
  </si>
  <si>
    <t>F894697930549805</t>
  </si>
  <si>
    <t>周铭杰</t>
  </si>
  <si>
    <t>F915101315431155</t>
  </si>
  <si>
    <t>邓仕其</t>
  </si>
  <si>
    <t>F948243901510938</t>
  </si>
  <si>
    <t>张定权</t>
  </si>
  <si>
    <t>陈平,张晓平,张晓琴,张明贵,张定权,张明富,张盛海</t>
  </si>
  <si>
    <t>F949984362933202</t>
  </si>
  <si>
    <t>邓国寿</t>
  </si>
  <si>
    <t>邓茂林,陈华,邓国寿,邓锦涛,邓洪兵</t>
  </si>
  <si>
    <t>F950018434026727</t>
  </si>
  <si>
    <t>李加清</t>
  </si>
  <si>
    <t>李加清,李忠霖,李炼,张仕香</t>
  </si>
  <si>
    <t>F950022359964592</t>
  </si>
  <si>
    <t>翁兴汝</t>
  </si>
  <si>
    <t>翁国森,翁国婷,翁兴汝,云焕贵,翁国能</t>
  </si>
  <si>
    <t>F950026421214725</t>
  </si>
  <si>
    <t>彭贵华</t>
  </si>
  <si>
    <t>彭贵华,王荣珍</t>
  </si>
  <si>
    <t>F950028864651391</t>
  </si>
  <si>
    <t>胡小容</t>
  </si>
  <si>
    <t>胡小容,杨羽</t>
  </si>
  <si>
    <t>F950032640745658</t>
  </si>
  <si>
    <t>郑隆益</t>
  </si>
  <si>
    <t>郑隆益,闫安宜</t>
  </si>
  <si>
    <t>F950033918089804</t>
  </si>
  <si>
    <t>闫安镛</t>
  </si>
  <si>
    <t>F950034662777135</t>
  </si>
  <si>
    <t>翁光玉</t>
  </si>
  <si>
    <t>张德兰,翁光玉</t>
  </si>
  <si>
    <t>F950038370276722</t>
  </si>
  <si>
    <t>闫安贵</t>
  </si>
  <si>
    <t>闫安贵,闫邦乾</t>
  </si>
  <si>
    <t>F950038793245848</t>
  </si>
  <si>
    <t>余元富</t>
  </si>
  <si>
    <t>余元富,王道玉,余江强,陈庆陆</t>
  </si>
  <si>
    <t>F950040066370681</t>
  </si>
  <si>
    <t>王利树</t>
  </si>
  <si>
    <t>王利树,李龙田</t>
  </si>
  <si>
    <t>F950041867933051</t>
  </si>
  <si>
    <t>王荣堂</t>
  </si>
  <si>
    <t>F977810364436808</t>
  </si>
  <si>
    <t>范迁</t>
  </si>
  <si>
    <t>F977893918352707</t>
  </si>
  <si>
    <t>胡通兵</t>
  </si>
  <si>
    <t>F001661653714441</t>
  </si>
  <si>
    <t>卫国村委会</t>
  </si>
  <si>
    <t>胡朝卫</t>
  </si>
  <si>
    <t>张成英,胡彬华,胡朝卫,敖良全,胡洪彰,胡娟凤</t>
  </si>
  <si>
    <t>F001863381058281</t>
  </si>
  <si>
    <t>胡绍君</t>
  </si>
  <si>
    <t>梁树勤,胡光涛,胡语婷,胡光明,胡绍君</t>
  </si>
  <si>
    <t>F224198453030761</t>
  </si>
  <si>
    <t>陈贵华</t>
  </si>
  <si>
    <t>陈运鹏,陈欣怡,李隆平,陈贵华,陈波,梁国平</t>
  </si>
  <si>
    <t>F224209299559707</t>
  </si>
  <si>
    <t>阎安泽</t>
  </si>
  <si>
    <t>F224212483760921</t>
  </si>
  <si>
    <t>陈历乾</t>
  </si>
  <si>
    <t>李家明,陈历乾</t>
  </si>
  <si>
    <t>F267986552301488</t>
  </si>
  <si>
    <t>陈忠桂</t>
  </si>
  <si>
    <t>陈忠桂,张明桂</t>
  </si>
  <si>
    <t>F289212426610986</t>
  </si>
  <si>
    <t>闫四居</t>
  </si>
  <si>
    <t>闫非,闫四居</t>
  </si>
  <si>
    <t>F323218385422577</t>
  </si>
  <si>
    <t>闫邦福</t>
  </si>
  <si>
    <t>郑燕梅,郑安娜,闫邦福,赵品群,郑安全</t>
  </si>
  <si>
    <t>F323220436517259</t>
  </si>
  <si>
    <t>杨明容</t>
  </si>
  <si>
    <t>胡伟,杨明容</t>
  </si>
  <si>
    <t>F387197154907446</t>
  </si>
  <si>
    <t>宋再良</t>
  </si>
  <si>
    <t>F526355722478315</t>
  </si>
  <si>
    <t>余华清</t>
  </si>
  <si>
    <t>余晓萍,徐先会,余华清</t>
  </si>
  <si>
    <t>F534746242078286</t>
  </si>
  <si>
    <t>王修炼</t>
  </si>
  <si>
    <t>F594350798630695</t>
  </si>
  <si>
    <t>胡清华</t>
  </si>
  <si>
    <t>胡清华,胡熠函,胡梦涵,胡子豪,张梅</t>
  </si>
  <si>
    <t>F730921436962481</t>
  </si>
  <si>
    <t>陈德有</t>
  </si>
  <si>
    <t>陈德有,陈宇佳</t>
  </si>
  <si>
    <t>F815365450352064</t>
  </si>
  <si>
    <t>雷华富</t>
  </si>
  <si>
    <t>雷华富,方志平</t>
  </si>
  <si>
    <t>F815378926198659</t>
  </si>
  <si>
    <t>胡希伦</t>
  </si>
  <si>
    <t>廖廷礼,胡希伦</t>
  </si>
  <si>
    <t>F893020893721534</t>
  </si>
  <si>
    <t>闫安奎</t>
  </si>
  <si>
    <t>闫安奎,闫瑞</t>
  </si>
  <si>
    <t>F894708986926965</t>
  </si>
  <si>
    <t>文君</t>
  </si>
  <si>
    <t>F949982300433253</t>
  </si>
  <si>
    <t>胡希有</t>
  </si>
  <si>
    <t>胡希有,闫帮财</t>
  </si>
  <si>
    <t>F949984241839827</t>
  </si>
  <si>
    <t>匡国伦</t>
  </si>
  <si>
    <t>匡建州,匡美霖,匡国伦</t>
  </si>
  <si>
    <t>F949988151526873</t>
  </si>
  <si>
    <t>王永贵</t>
  </si>
  <si>
    <t>王荣军,王永贵,敖纯银</t>
  </si>
  <si>
    <t>F949988383871405</t>
  </si>
  <si>
    <t>郑隆富</t>
  </si>
  <si>
    <t>郑隆富,李淑贞</t>
  </si>
  <si>
    <t>F949990228245916</t>
  </si>
  <si>
    <t>胡晓平</t>
  </si>
  <si>
    <t>F950009724339155</t>
  </si>
  <si>
    <t>胡礼和</t>
  </si>
  <si>
    <t>F950013072933291</t>
  </si>
  <si>
    <t>陈朝玉</t>
  </si>
  <si>
    <t>陈朝玉,向一珍</t>
  </si>
  <si>
    <t>F950014527152270</t>
  </si>
  <si>
    <t>闫安权</t>
  </si>
  <si>
    <t>F950014633557965</t>
  </si>
  <si>
    <t>陈启萍</t>
  </si>
  <si>
    <t>F950014898870910</t>
  </si>
  <si>
    <t>徐帮富</t>
  </si>
  <si>
    <t>F950015079495338</t>
  </si>
  <si>
    <t>胡礼书</t>
  </si>
  <si>
    <t>邓尹珍,胡春兰,胡礼书,胡小翠</t>
  </si>
  <si>
    <t>F950015262776537</t>
  </si>
  <si>
    <t>杨晓琴</t>
  </si>
  <si>
    <t>杨胜权,杨静,杨晓琴,张付英</t>
  </si>
  <si>
    <t>F950016660901749</t>
  </si>
  <si>
    <t>徐国容</t>
  </si>
  <si>
    <t>徐国容,龚举松</t>
  </si>
  <si>
    <t>F950018334808126</t>
  </si>
  <si>
    <t>陈文珍</t>
  </si>
  <si>
    <t>F950018685745900</t>
  </si>
  <si>
    <t>胡秀彩</t>
  </si>
  <si>
    <t>胡朝贵,胡秀彩,徐六林,胡小芳,胡宸祥</t>
  </si>
  <si>
    <t>F950020449339064</t>
  </si>
  <si>
    <t>王增洪</t>
  </si>
  <si>
    <t>F950024341058138</t>
  </si>
  <si>
    <t>张青容</t>
  </si>
  <si>
    <t>胡利霖,胡炼,胡贵彬,张青容</t>
  </si>
  <si>
    <t>F950025888401754</t>
  </si>
  <si>
    <t>邓仕荣</t>
  </si>
  <si>
    <t>F950026263401633</t>
  </si>
  <si>
    <t>何世荣</t>
  </si>
  <si>
    <t>何世荣,何代金,何倩,何上兴,何文昊</t>
  </si>
  <si>
    <t>F950026371370944</t>
  </si>
  <si>
    <t>郑世友</t>
  </si>
  <si>
    <t>郑世友,郭树兰</t>
  </si>
  <si>
    <t>F950028061527007</t>
  </si>
  <si>
    <t>张剑文</t>
  </si>
  <si>
    <t>F950028076214535</t>
  </si>
  <si>
    <t>陈弟光</t>
  </si>
  <si>
    <t>杨明银,陈友林,陈弟光</t>
  </si>
  <si>
    <t>F950028284807887</t>
  </si>
  <si>
    <t>邓国圆</t>
  </si>
  <si>
    <t>邓国圆,雷万银</t>
  </si>
  <si>
    <t>F950028322620611</t>
  </si>
  <si>
    <t>王又</t>
  </si>
  <si>
    <t>F950028759808086</t>
  </si>
  <si>
    <t>李小红</t>
  </si>
  <si>
    <t>F950028972151739</t>
  </si>
  <si>
    <t>闫永田</t>
  </si>
  <si>
    <t>F950029121683318</t>
  </si>
  <si>
    <t>曾自奎</t>
  </si>
  <si>
    <t>张治容,曾自奎,曾洋</t>
  </si>
  <si>
    <t>F950030030589771</t>
  </si>
  <si>
    <t>彭祖全</t>
  </si>
  <si>
    <t>文永珍,彭祖全,彭祖伦,彭德勋</t>
  </si>
  <si>
    <t>F950030144182979</t>
  </si>
  <si>
    <t>阎帮文</t>
  </si>
  <si>
    <t>阎帮文,廖廷南,阎东乾,阎银红,阎文利</t>
  </si>
  <si>
    <t>F950031799027002</t>
  </si>
  <si>
    <t>文永厚</t>
  </si>
  <si>
    <t>F950031851371177</t>
  </si>
  <si>
    <t>陈德兴</t>
  </si>
  <si>
    <t>陈德兴,郑代顺</t>
  </si>
  <si>
    <t>F950032124807773</t>
  </si>
  <si>
    <t>郑世根</t>
  </si>
  <si>
    <t>F950032417620689</t>
  </si>
  <si>
    <t>黄金银</t>
  </si>
  <si>
    <t>黄应会,胡克珍,黄金银</t>
  </si>
  <si>
    <t>F950032674182948</t>
  </si>
  <si>
    <t>阎邦明</t>
  </si>
  <si>
    <t>F950032825120831</t>
  </si>
  <si>
    <t>张清平</t>
  </si>
  <si>
    <t>张雅萱,张明枢,熊小英,张清平</t>
  </si>
  <si>
    <t>F950033959807960</t>
  </si>
  <si>
    <t>王修根</t>
  </si>
  <si>
    <t>F950034029183260</t>
  </si>
  <si>
    <t>杨光金</t>
  </si>
  <si>
    <t>闫洪容,闫洪文,杨光金</t>
  </si>
  <si>
    <t>F950034431526679</t>
  </si>
  <si>
    <t>闫安普</t>
  </si>
  <si>
    <t>F950036194964203</t>
  </si>
  <si>
    <t>闫定刚</t>
  </si>
  <si>
    <t>F950036482154470</t>
  </si>
  <si>
    <t>陈德玉</t>
  </si>
  <si>
    <t>胡秀兵,陈德玉,胡月,胡雨露,李维财</t>
  </si>
  <si>
    <t>F950037007933172</t>
  </si>
  <si>
    <t>张高林</t>
  </si>
  <si>
    <t>F950038213245689</t>
  </si>
  <si>
    <t>梁清正</t>
  </si>
  <si>
    <t>梁清正,胡克英,梁国雄,梁梦瑞</t>
  </si>
  <si>
    <t>F950039106370933</t>
  </si>
  <si>
    <t>李玉芳</t>
  </si>
  <si>
    <t>F950039859964398</t>
  </si>
  <si>
    <t>卢光琼</t>
  </si>
  <si>
    <t>卢光琼,陈历顺</t>
  </si>
  <si>
    <t>F950040236058237</t>
  </si>
  <si>
    <t>王明兴</t>
  </si>
  <si>
    <t>F950040371370877</t>
  </si>
  <si>
    <t>郑思安</t>
  </si>
  <si>
    <t>郑思安,郑代雄</t>
  </si>
  <si>
    <t>F950040748870808</t>
  </si>
  <si>
    <t>方秀珍</t>
  </si>
  <si>
    <t>王华正,方秀珍,王万龙</t>
  </si>
  <si>
    <t>F950041876214777</t>
  </si>
  <si>
    <t>雷兴珍</t>
  </si>
  <si>
    <t>梁宏桂,雷兴珍</t>
  </si>
  <si>
    <t>F950041981214079</t>
  </si>
  <si>
    <t>郑世建</t>
  </si>
  <si>
    <t>F950042723558076</t>
  </si>
  <si>
    <t>郑世福</t>
  </si>
  <si>
    <t>郑世福,陈历翠</t>
  </si>
  <si>
    <t>F950043029651628</t>
  </si>
  <si>
    <t>F950044301995948</t>
  </si>
  <si>
    <t>胡秀荣</t>
  </si>
  <si>
    <t>F950044459339544</t>
  </si>
  <si>
    <t>陈大章</t>
  </si>
  <si>
    <t>罗安桂,陈大章,陈启贵</t>
  </si>
  <si>
    <t>F973353058577264</t>
  </si>
  <si>
    <t>王治荣</t>
  </si>
  <si>
    <t>沙马门作子,王化滨,王修其,王化林,王美玲,王治荣</t>
  </si>
  <si>
    <t>F973472532149725</t>
  </si>
  <si>
    <t>郑世瑶</t>
  </si>
  <si>
    <t>覃美香,郑世瑶</t>
  </si>
  <si>
    <t>F977752775628249</t>
  </si>
  <si>
    <t>胡克全</t>
  </si>
  <si>
    <t>胡希光,彭德英,胡克全</t>
  </si>
  <si>
    <t>F977882786047854</t>
  </si>
  <si>
    <t>王明洪</t>
  </si>
  <si>
    <t>王明洪,王修强</t>
  </si>
  <si>
    <t>F981845687883973</t>
  </si>
  <si>
    <t>F997487431528233</t>
  </si>
  <si>
    <t>阎帮春,陈朝兴,陈淑娟</t>
  </si>
  <si>
    <t>F008388392613232</t>
  </si>
  <si>
    <t>莺歌村委会</t>
  </si>
  <si>
    <t>郑茂鑫</t>
  </si>
  <si>
    <t>F016058185252826</t>
  </si>
  <si>
    <t>陈绍兰</t>
  </si>
  <si>
    <t>F041052646975087</t>
  </si>
  <si>
    <t>陈朝发</t>
  </si>
  <si>
    <t>F061119786271188</t>
  </si>
  <si>
    <t>唐自琴</t>
  </si>
  <si>
    <t>唐自琴,李豪</t>
  </si>
  <si>
    <t>F249306290269484</t>
  </si>
  <si>
    <t>吕锡兵</t>
  </si>
  <si>
    <t>杨明容,吕锡兵,吕汝雄,吕东学,范嗣湘</t>
  </si>
  <si>
    <t>F323217152610181</t>
  </si>
  <si>
    <t>王修树</t>
  </si>
  <si>
    <t>F323222008547754</t>
  </si>
  <si>
    <t>邓仕亮</t>
  </si>
  <si>
    <t>F323223079641603</t>
  </si>
  <si>
    <t>F416066216011550</t>
  </si>
  <si>
    <t>邓国星</t>
  </si>
  <si>
    <t>邓国星,邓丽翠,邓明务</t>
  </si>
  <si>
    <t>F526317321862827</t>
  </si>
  <si>
    <t>宋正洪</t>
  </si>
  <si>
    <t>陈明弟,钟淑芬,宋正洪,宋润东</t>
  </si>
  <si>
    <t>F577988629665951</t>
  </si>
  <si>
    <t>张光根</t>
  </si>
  <si>
    <t>张光根,李於红,李梦莎,李万全</t>
  </si>
  <si>
    <t>F594357752985186</t>
  </si>
  <si>
    <t>郑绪兵</t>
  </si>
  <si>
    <t>郑婷,邓仕平,郑绪兵,郑天强</t>
  </si>
  <si>
    <t>F594360128913604</t>
  </si>
  <si>
    <t>邓国伟</t>
  </si>
  <si>
    <t>邓国伟,邓飞阳,卢开发,邓江涛</t>
  </si>
  <si>
    <t>F725692367587786</t>
  </si>
  <si>
    <t>陈希达</t>
  </si>
  <si>
    <t>陈道伦,陈希达,陈前宏,陈泓芳</t>
  </si>
  <si>
    <t>F725700245315879</t>
  </si>
  <si>
    <t>陈维均</t>
  </si>
  <si>
    <t>F762912478842658</t>
  </si>
  <si>
    <t>魏玲</t>
  </si>
  <si>
    <t>F949984283714242</t>
  </si>
  <si>
    <t>李昌金</t>
  </si>
  <si>
    <t>袁润珍,李於华,李昌金</t>
  </si>
  <si>
    <t>F949989994339408</t>
  </si>
  <si>
    <t>邓国均</t>
  </si>
  <si>
    <t>邓国均,汪孝安</t>
  </si>
  <si>
    <t>F949990205120630</t>
  </si>
  <si>
    <t>刘林</t>
  </si>
  <si>
    <t>刘林,李春桃,李万鹏</t>
  </si>
  <si>
    <t>F950011372464509</t>
  </si>
  <si>
    <t>邓国兵</t>
  </si>
  <si>
    <t>邓国兵,李昌芝,邓雄</t>
  </si>
  <si>
    <t>F950014941370435</t>
  </si>
  <si>
    <t>邹泽良</t>
  </si>
  <si>
    <t>王金元,邹泽良</t>
  </si>
  <si>
    <t>F950015194183366</t>
  </si>
  <si>
    <t>F950015637620761</t>
  </si>
  <si>
    <t>F950016574495436</t>
  </si>
  <si>
    <t>余树奎</t>
  </si>
  <si>
    <t>余树奎,祝贵兰</t>
  </si>
  <si>
    <t>F950016709807966</t>
  </si>
  <si>
    <t>李昌清</t>
  </si>
  <si>
    <t>邓昌琼,李昌清,李洪,李沐林,吴树林</t>
  </si>
  <si>
    <t>F950016723870917</t>
  </si>
  <si>
    <t>陈朝珍</t>
  </si>
  <si>
    <t>邓科,邓菲,陈朝珍,邓昌旭</t>
  </si>
  <si>
    <t>F950016806995893</t>
  </si>
  <si>
    <t>邓奎</t>
  </si>
  <si>
    <t>F950022613870576</t>
  </si>
  <si>
    <t>潘富珍</t>
  </si>
  <si>
    <t>潘富珍,张德红,赵思琦</t>
  </si>
  <si>
    <t>F950024344026869</t>
  </si>
  <si>
    <t>赵勇强</t>
  </si>
  <si>
    <t>雷雪梅,赵洪银,赵红燕,赵勇强,赵洪福,廖朝英</t>
  </si>
  <si>
    <t>F950024871682791</t>
  </si>
  <si>
    <t>陈光明</t>
  </si>
  <si>
    <t>陈光明,李治云</t>
  </si>
  <si>
    <t>F950025071370272</t>
  </si>
  <si>
    <t>陈历华</t>
  </si>
  <si>
    <t>邓昌琼,陈历华,陈建</t>
  </si>
  <si>
    <t>F950025214964267</t>
  </si>
  <si>
    <t>邹玉光</t>
  </si>
  <si>
    <t>邹玉光,胡鑫,胡克荣</t>
  </si>
  <si>
    <t>F950025239339094</t>
  </si>
  <si>
    <t>唐军</t>
  </si>
  <si>
    <t>唐军,吕容,唐吉华,唐婉玲,唐天豪,余秀英,唐昌银</t>
  </si>
  <si>
    <t>F950025264808407</t>
  </si>
  <si>
    <t>周大平</t>
  </si>
  <si>
    <t>林星,周大平</t>
  </si>
  <si>
    <t>F950026149339080</t>
  </si>
  <si>
    <t>吕培利</t>
  </si>
  <si>
    <t>F950026441370533</t>
  </si>
  <si>
    <t>陈希贵</t>
  </si>
  <si>
    <t>F950026538558182</t>
  </si>
  <si>
    <t>吕培方</t>
  </si>
  <si>
    <t>吕培方,吕锡涵</t>
  </si>
  <si>
    <t>F950029157308534</t>
  </si>
  <si>
    <t>邓仕来</t>
  </si>
  <si>
    <t>F950031972620361</t>
  </si>
  <si>
    <t>郑龙泽</t>
  </si>
  <si>
    <t>胡宇恒,郑龙泽</t>
  </si>
  <si>
    <t>F950032905749559</t>
  </si>
  <si>
    <t>卢光学</t>
  </si>
  <si>
    <t>陈绍英,卢光学,卢宗燕</t>
  </si>
  <si>
    <t>F950034613558308</t>
  </si>
  <si>
    <t>王伦德</t>
  </si>
  <si>
    <t>F950034675432838</t>
  </si>
  <si>
    <t>徐顺友</t>
  </si>
  <si>
    <t>F950034855902082</t>
  </si>
  <si>
    <t>李建玉</t>
  </si>
  <si>
    <t>李建玉,李紫露</t>
  </si>
  <si>
    <t>F950035200901774</t>
  </si>
  <si>
    <t>邓利琼</t>
  </si>
  <si>
    <t>赵明兰,邓利琼</t>
  </si>
  <si>
    <t>F950036137464388</t>
  </si>
  <si>
    <t>邓小华</t>
  </si>
  <si>
    <t>邓小华,邓裕群</t>
  </si>
  <si>
    <t>F950036536214499</t>
  </si>
  <si>
    <t>李德明</t>
  </si>
  <si>
    <t>杨美,廖登春,李德明,李强,李佳瑞</t>
  </si>
  <si>
    <t>F950036546526935</t>
  </si>
  <si>
    <t>邓国凯</t>
  </si>
  <si>
    <t>邓国凯,陈朝兰</t>
  </si>
  <si>
    <t>F950036644652764</t>
  </si>
  <si>
    <t>李清珍</t>
  </si>
  <si>
    <t>李清珍,曾昔月</t>
  </si>
  <si>
    <t>F950036782151652</t>
  </si>
  <si>
    <t>邹味先</t>
  </si>
  <si>
    <t>F950036844964737</t>
  </si>
  <si>
    <t>F950039743089622</t>
  </si>
  <si>
    <t>唐诗宜</t>
  </si>
  <si>
    <t>唐书科,唐诗宜</t>
  </si>
  <si>
    <t>F950039762151855</t>
  </si>
  <si>
    <t>F950039945589471</t>
  </si>
  <si>
    <t>邓国慈</t>
  </si>
  <si>
    <t>F950041227464187</t>
  </si>
  <si>
    <t>谭国明</t>
  </si>
  <si>
    <t>F950042716839604</t>
  </si>
  <si>
    <t>王化军,邓国琼,王治恒</t>
  </si>
  <si>
    <t>F950042841214629</t>
  </si>
  <si>
    <t>冯永生</t>
  </si>
  <si>
    <t>冯永生,冯东,冯号林,杨玉平</t>
  </si>
  <si>
    <t>F950043088245507</t>
  </si>
  <si>
    <t>王治才</t>
  </si>
  <si>
    <t>F950043292464482</t>
  </si>
  <si>
    <t>曾吉书</t>
  </si>
  <si>
    <t>F950043983401830</t>
  </si>
  <si>
    <t>刘安贵</t>
  </si>
  <si>
    <t>刘安贵,饶宗琼</t>
  </si>
  <si>
    <t>F950044246214634</t>
  </si>
  <si>
    <t>F950044334964319</t>
  </si>
  <si>
    <t>满福田</t>
  </si>
  <si>
    <t>何其香,满福田</t>
  </si>
  <si>
    <t>F974420671028656</t>
  </si>
  <si>
    <t>邓克生</t>
  </si>
  <si>
    <t>张正英,邓克生</t>
  </si>
  <si>
    <t>F996854152242889</t>
  </si>
  <si>
    <t>黄中琼</t>
  </si>
  <si>
    <t>赵梦欣,黄中琼</t>
  </si>
  <si>
    <t>F997497640759545</t>
  </si>
  <si>
    <t>张权兴</t>
  </si>
  <si>
    <t>F034296662353691</t>
  </si>
  <si>
    <t>龙沱村委会</t>
  </si>
  <si>
    <t>王诗平</t>
  </si>
  <si>
    <t>王雨萱,陈历双,王梦含,马照培,王诗平</t>
  </si>
  <si>
    <t>F175800763439982</t>
  </si>
  <si>
    <t>夏生容</t>
  </si>
  <si>
    <t>F229761761121467</t>
  </si>
  <si>
    <t>陈清友</t>
  </si>
  <si>
    <t>陈清友,陈军</t>
  </si>
  <si>
    <t>F261864778409560</t>
  </si>
  <si>
    <t>潘伯海</t>
  </si>
  <si>
    <t>F361760126685694</t>
  </si>
  <si>
    <t>熊明海</t>
  </si>
  <si>
    <t>熊元芳,熊光林,吕定兰,熊明海</t>
  </si>
  <si>
    <t>F387198401313607</t>
  </si>
  <si>
    <t>舒贵珍</t>
  </si>
  <si>
    <t>舒贵珍,黄应彬,黄应模</t>
  </si>
  <si>
    <t>F387205320063249</t>
  </si>
  <si>
    <t>罗明秀</t>
  </si>
  <si>
    <t>罗明秀,邓俊杰,邓俊财</t>
  </si>
  <si>
    <t>F387206123500704</t>
  </si>
  <si>
    <t>王尊福</t>
  </si>
  <si>
    <t>王尊福,李德珍,王茗弘</t>
  </si>
  <si>
    <t>F578652157567197</t>
  </si>
  <si>
    <t>廖登富</t>
  </si>
  <si>
    <t>廖东,廖登富,廖庭苇,王明英</t>
  </si>
  <si>
    <t>F578660726989264</t>
  </si>
  <si>
    <t>王万彬</t>
  </si>
  <si>
    <t>王方俊,王子翔,廖乐芳,王柯芯,王万彬,王显华</t>
  </si>
  <si>
    <t>F595273412986098</t>
  </si>
  <si>
    <t>黄定银</t>
  </si>
  <si>
    <t>黄定银,马锌玉,马仁鑫</t>
  </si>
  <si>
    <t>F788726275847897</t>
  </si>
  <si>
    <t>罗文盆</t>
  </si>
  <si>
    <t>罗春杨,杨明玖,罗文盆</t>
  </si>
  <si>
    <t>F815390472510681</t>
  </si>
  <si>
    <t>黄清全</t>
  </si>
  <si>
    <t>王瑞,黄清全,王煦程,王诗兰</t>
  </si>
  <si>
    <t>F934077054150999</t>
  </si>
  <si>
    <t>张联金</t>
  </si>
  <si>
    <t>付嘉棋,陈明珍,张联金,张登红</t>
  </si>
  <si>
    <t>F949982134027191</t>
  </si>
  <si>
    <t>廖乐琴</t>
  </si>
  <si>
    <t>罗瑞,罗梓良,廖乐琴</t>
  </si>
  <si>
    <t>F949984309339729</t>
  </si>
  <si>
    <t>陈绍才</t>
  </si>
  <si>
    <t>陈可馨,陈绍才,张家琼,陈静,陈逸骏</t>
  </si>
  <si>
    <t>F950009654495792</t>
  </si>
  <si>
    <t>悦金</t>
  </si>
  <si>
    <t>悦金,悦训丽</t>
  </si>
  <si>
    <t>F950009834495856</t>
  </si>
  <si>
    <t>罗文志</t>
  </si>
  <si>
    <t>F950011625745494</t>
  </si>
  <si>
    <t>罗文祥</t>
  </si>
  <si>
    <t>张琳,罗熠涵,罗文祥,罗明方</t>
  </si>
  <si>
    <t>F950013415901788</t>
  </si>
  <si>
    <t>代兵林</t>
  </si>
  <si>
    <t>代兵林,代友平,韩龙凤,张正琼</t>
  </si>
  <si>
    <t>F950014351995468</t>
  </si>
  <si>
    <t>代华军</t>
  </si>
  <si>
    <t>代华军,代康,代富春,李应璜,闫菡悦</t>
  </si>
  <si>
    <t>F950014625120594</t>
  </si>
  <si>
    <t>邹品才</t>
  </si>
  <si>
    <t>邹京岑,邹品才</t>
  </si>
  <si>
    <t>F950014769495930</t>
  </si>
  <si>
    <t>王玲,李光珍</t>
  </si>
  <si>
    <t>F950014886526643</t>
  </si>
  <si>
    <t>周国兰</t>
  </si>
  <si>
    <t>F950015204495499</t>
  </si>
  <si>
    <t>周仕强</t>
  </si>
  <si>
    <t>周永华,周永鑫,周仕强</t>
  </si>
  <si>
    <t>F950015390433297</t>
  </si>
  <si>
    <t>邓仕润</t>
  </si>
  <si>
    <t>邓仕润,罗应波</t>
  </si>
  <si>
    <t>F950016431683184</t>
  </si>
  <si>
    <t>王显亮</t>
  </si>
  <si>
    <t>王陈,陈明容,王显亮,王晓梅,王子墨</t>
  </si>
  <si>
    <t>F950016546214537</t>
  </si>
  <si>
    <t>王尊才</t>
  </si>
  <si>
    <t>陈克荣,王尊才</t>
  </si>
  <si>
    <t>F950018658558207</t>
  </si>
  <si>
    <t>陈孝君</t>
  </si>
  <si>
    <t>陈孝君,陈杨羊,黄显明,陈鑫,陈洪妹,吉沙曲依</t>
  </si>
  <si>
    <t>F950022551683319</t>
  </si>
  <si>
    <t>李世忠</t>
  </si>
  <si>
    <t>李世忠,李代林,陈历明</t>
  </si>
  <si>
    <t>F950022567776773</t>
  </si>
  <si>
    <t>罗文银</t>
  </si>
  <si>
    <t>罗文银,罗明高</t>
  </si>
  <si>
    <t>F950024329339743</t>
  </si>
  <si>
    <t>王艳,罗文玉,王正荣,罗明财</t>
  </si>
  <si>
    <t>F950024356995462</t>
  </si>
  <si>
    <t>陈道相</t>
  </si>
  <si>
    <t>F950024645433122</t>
  </si>
  <si>
    <t>韩文高</t>
  </si>
  <si>
    <t>韩龙光,韩文高</t>
  </si>
  <si>
    <t>F950026154964376</t>
  </si>
  <si>
    <t>邓仕芝</t>
  </si>
  <si>
    <t>邓琼,邓仕芝</t>
  </si>
  <si>
    <t>F950028162932772</t>
  </si>
  <si>
    <t>陈兴全</t>
  </si>
  <si>
    <t>袁后米,陈兴全</t>
  </si>
  <si>
    <t>F950028351995366</t>
  </si>
  <si>
    <t>韩龙芳</t>
  </si>
  <si>
    <t>F950028522621163</t>
  </si>
  <si>
    <t>陈孝富</t>
  </si>
  <si>
    <t>陈孝富,王伯芬</t>
  </si>
  <si>
    <t>F950029071527439</t>
  </si>
  <si>
    <t>罗应富</t>
  </si>
  <si>
    <t>F950029192777348</t>
  </si>
  <si>
    <t>李万林</t>
  </si>
  <si>
    <t>李鸿,李万林</t>
  </si>
  <si>
    <t>F950030371058475</t>
  </si>
  <si>
    <t>邹泽根</t>
  </si>
  <si>
    <t>邹泽根,邹品祥,张再芬,王佳玲</t>
  </si>
  <si>
    <t>F950031946370671</t>
  </si>
  <si>
    <t>邓仕炳</t>
  </si>
  <si>
    <t>邓雪梅,邓仕炳</t>
  </si>
  <si>
    <t>F950032450276766</t>
  </si>
  <si>
    <t>曾恒洲</t>
  </si>
  <si>
    <t>曾恒洲,曾才银,黄禄琼,曾颖洁</t>
  </si>
  <si>
    <t>F950032819495700</t>
  </si>
  <si>
    <t>曾广财</t>
  </si>
  <si>
    <t>曾吉银,曾睿婕,曾广财,王秀琼,曾霞</t>
  </si>
  <si>
    <t>F950033066683679</t>
  </si>
  <si>
    <t>罗明全</t>
  </si>
  <si>
    <t>罗明全,李文会,罗杰,罗应琼</t>
  </si>
  <si>
    <t>F950033706995472</t>
  </si>
  <si>
    <t>张明友</t>
  </si>
  <si>
    <t>黄贞容,张明友,张烙铕,张超</t>
  </si>
  <si>
    <t>F950033814495824</t>
  </si>
  <si>
    <t>解述章</t>
  </si>
  <si>
    <t>曾容,曾超,解述章</t>
  </si>
  <si>
    <t>F950033926839421</t>
  </si>
  <si>
    <t>韩文祥</t>
  </si>
  <si>
    <t>韩文祥,雷从芳,吴小梅,韩晓英,韩金华,韩浩,韩瑞</t>
  </si>
  <si>
    <t>F950035168714065</t>
  </si>
  <si>
    <t>马前六</t>
  </si>
  <si>
    <t>马前六,马仁智,李巧芬,马仁秀,邓国锡</t>
  </si>
  <si>
    <t>F950035910589679</t>
  </si>
  <si>
    <t>黄玉全</t>
  </si>
  <si>
    <t>F950036864182847</t>
  </si>
  <si>
    <t>周仕琼</t>
  </si>
  <si>
    <t>周仕琼,陈雄兵</t>
  </si>
  <si>
    <t>F950036940745656</t>
  </si>
  <si>
    <t>廖朝玉</t>
  </si>
  <si>
    <t>韩东,韩小琴,廖朝玉,韩春燕,刘红丽</t>
  </si>
  <si>
    <t>F950038042307828</t>
  </si>
  <si>
    <t>王季康</t>
  </si>
  <si>
    <t>王季康,吴和英</t>
  </si>
  <si>
    <t>F950038378870653</t>
  </si>
  <si>
    <t>王明祖</t>
  </si>
  <si>
    <t>王明祖,陈庆华</t>
  </si>
  <si>
    <t>F950039192933207</t>
  </si>
  <si>
    <t>王道云</t>
  </si>
  <si>
    <t>王霞,王道云,邓国斌,王健军,王洪艳</t>
  </si>
  <si>
    <t>F950039227933714</t>
  </si>
  <si>
    <t>邓昌权</t>
  </si>
  <si>
    <t>邓昌权,邓春燕</t>
  </si>
  <si>
    <t>F950039840433385</t>
  </si>
  <si>
    <t>陈绍珍</t>
  </si>
  <si>
    <t>陈绍珍,黄应成</t>
  </si>
  <si>
    <t>F950040867308455</t>
  </si>
  <si>
    <t>王道昌</t>
  </si>
  <si>
    <t>王道昌,罗文久,王洪惠,王遵荣</t>
  </si>
  <si>
    <t>F950041057777112</t>
  </si>
  <si>
    <t>罗余书</t>
  </si>
  <si>
    <t>陈其,罗余书,陈家源</t>
  </si>
  <si>
    <t>F950041966995558</t>
  </si>
  <si>
    <t>廖朝根</t>
  </si>
  <si>
    <t>F950042582464424</t>
  </si>
  <si>
    <t>王伯章</t>
  </si>
  <si>
    <t>F950043216058307</t>
  </si>
  <si>
    <t>陈历奎</t>
  </si>
  <si>
    <t>F950044736370798</t>
  </si>
  <si>
    <t>唐诗恩</t>
  </si>
  <si>
    <t>唐书兰,唐诗恩</t>
  </si>
  <si>
    <t>F996837851127294</t>
  </si>
  <si>
    <t>袁孔君</t>
  </si>
  <si>
    <t>F261711778409518</t>
  </si>
  <si>
    <t>水月村委会</t>
  </si>
  <si>
    <t>龙绍明</t>
  </si>
  <si>
    <t>龙国银,龙绍明</t>
  </si>
  <si>
    <t>F261718214815181</t>
  </si>
  <si>
    <t>廖淑珍</t>
  </si>
  <si>
    <t>F387196258969333</t>
  </si>
  <si>
    <t>田有才</t>
  </si>
  <si>
    <t>田有才,田自勋,田镒镔,田文静</t>
  </si>
  <si>
    <t>F416063160331538</t>
  </si>
  <si>
    <t>邓昌强</t>
  </si>
  <si>
    <t>邓杰,祝福贵,邓昌强</t>
  </si>
  <si>
    <t>F495910232468708</t>
  </si>
  <si>
    <t>卢兴贵</t>
  </si>
  <si>
    <t>F526291966697016</t>
  </si>
  <si>
    <t>邓昌文</t>
  </si>
  <si>
    <t>陈兴迪,邓操,邓昌文</t>
  </si>
  <si>
    <t>F571946777029148</t>
  </si>
  <si>
    <t>陈辉亮</t>
  </si>
  <si>
    <t>陈杰,方志相,陈光兴,陈辉亮</t>
  </si>
  <si>
    <t>F629688168460844</t>
  </si>
  <si>
    <t>周文凯</t>
  </si>
  <si>
    <t>周容,邓仕金,周文凯</t>
  </si>
  <si>
    <t>F629695750804567</t>
  </si>
  <si>
    <t>廖廷必</t>
  </si>
  <si>
    <t>F860512353322238</t>
  </si>
  <si>
    <t>邹富先</t>
  </si>
  <si>
    <t>邹富先,陈丽平,陈雨森</t>
  </si>
  <si>
    <t>F934077358369714</t>
  </si>
  <si>
    <t>牟玉林</t>
  </si>
  <si>
    <t>陈万贞,牟美燕,牟玉林</t>
  </si>
  <si>
    <t>F949982052308007</t>
  </si>
  <si>
    <t>刘中科</t>
  </si>
  <si>
    <t>刘中科,石从绪</t>
  </si>
  <si>
    <t>F949985690120512</t>
  </si>
  <si>
    <t>王显亮,邓小梅,王薪堪,王涵叶</t>
  </si>
  <si>
    <t>F950011575276542</t>
  </si>
  <si>
    <t>郑天明</t>
  </si>
  <si>
    <t>郑万江,郑泽江,郑天明,杨现坤</t>
  </si>
  <si>
    <t>F950013129027234</t>
  </si>
  <si>
    <t>卢国昌</t>
  </si>
  <si>
    <t>卢君云,陈光佑,卢国昌,黄淑娟</t>
  </si>
  <si>
    <t>F950013774964445</t>
  </si>
  <si>
    <t>陈辉渠</t>
  </si>
  <si>
    <t>陈映秀,廖树琼,陈辉渠</t>
  </si>
  <si>
    <t>F950014978870871</t>
  </si>
  <si>
    <t>杨小琴</t>
  </si>
  <si>
    <t>吉长林,杨小琴</t>
  </si>
  <si>
    <t>F950015273245412</t>
  </si>
  <si>
    <t>杨小兵</t>
  </si>
  <si>
    <t>杨林,杨程,杨小兵,杨芳,陈正芬</t>
  </si>
  <si>
    <t>F950015608870549</t>
  </si>
  <si>
    <t>陈辉敏</t>
  </si>
  <si>
    <t>陈辉敏,陈镜全,陈秋滟,陈鑫缆</t>
  </si>
  <si>
    <t>F950016539339148</t>
  </si>
  <si>
    <t>卢国林</t>
  </si>
  <si>
    <t>卢国林,杨光银</t>
  </si>
  <si>
    <t>F950018749964800</t>
  </si>
  <si>
    <t>陈辉全</t>
  </si>
  <si>
    <t>陈辉全,陈柄坤,熊伯银</t>
  </si>
  <si>
    <t>F950018758871168</t>
  </si>
  <si>
    <t>王尊学</t>
  </si>
  <si>
    <t>王尊学,王明标</t>
  </si>
  <si>
    <t>F950025195590143</t>
  </si>
  <si>
    <t>邓仕龙</t>
  </si>
  <si>
    <t>邓仕龙,洪国会</t>
  </si>
  <si>
    <t>F950025936683577</t>
  </si>
  <si>
    <t>马兆珍</t>
  </si>
  <si>
    <t>马兆珍,卢万春,卢万弟</t>
  </si>
  <si>
    <t>F950026038557982</t>
  </si>
  <si>
    <t>邓仕好</t>
  </si>
  <si>
    <t>邓力修,郑福贞,邓仕好,杨定书</t>
  </si>
  <si>
    <t>F950026555120349</t>
  </si>
  <si>
    <t>郑容,赵英琪,王友珍,郑万燕</t>
  </si>
  <si>
    <t>F950026847933130</t>
  </si>
  <si>
    <t>王应林</t>
  </si>
  <si>
    <t>F950026858245541</t>
  </si>
  <si>
    <t>郑贵枢</t>
  </si>
  <si>
    <t>杨建琼,郑贵枢</t>
  </si>
  <si>
    <t>F950028113089294</t>
  </si>
  <si>
    <t>廖朝均</t>
  </si>
  <si>
    <t>廖伟,廖朝均</t>
  </si>
  <si>
    <t>F950028834339697</t>
  </si>
  <si>
    <t>施兴明</t>
  </si>
  <si>
    <t>施兴明,杨永奎</t>
  </si>
  <si>
    <t>F950029864964330</t>
  </si>
  <si>
    <t>王元章</t>
  </si>
  <si>
    <t>F950030209651776</t>
  </si>
  <si>
    <t>张益祥</t>
  </si>
  <si>
    <t>张世林,张益祥</t>
  </si>
  <si>
    <t>F950031119807865</t>
  </si>
  <si>
    <t>张富才</t>
  </si>
  <si>
    <t>F950032022933039</t>
  </si>
  <si>
    <t>王显权</t>
  </si>
  <si>
    <t>王显权,王聪,王鑫方</t>
  </si>
  <si>
    <t>F950032055276753</t>
  </si>
  <si>
    <t>王文久</t>
  </si>
  <si>
    <t>王文久,王召兰</t>
  </si>
  <si>
    <t>F950032183089727</t>
  </si>
  <si>
    <t>田自友</t>
  </si>
  <si>
    <t>田自友,陈绍林</t>
  </si>
  <si>
    <t>F950033709495414</t>
  </si>
  <si>
    <t>陈国兴</t>
  </si>
  <si>
    <t>王应堂,王显婷,陈国兴,王鹏宇,罗文贵</t>
  </si>
  <si>
    <t>F950034619339248</t>
  </si>
  <si>
    <t>刘朝福</t>
  </si>
  <si>
    <t>邓陆森,刘朝福,邓欣</t>
  </si>
  <si>
    <t>F950036111370497</t>
  </si>
  <si>
    <t>陈万根</t>
  </si>
  <si>
    <t>陈秋灵,陈万根,张平</t>
  </si>
  <si>
    <t>F950036185589029</t>
  </si>
  <si>
    <t>王显银</t>
  </si>
  <si>
    <t>王显银,胡俊清,黄录春,王万海</t>
  </si>
  <si>
    <t>F950036828245540</t>
  </si>
  <si>
    <t>张登明</t>
  </si>
  <si>
    <t>张登明,张前山</t>
  </si>
  <si>
    <t>F950038091058563</t>
  </si>
  <si>
    <t>陈辉扬</t>
  </si>
  <si>
    <t>周光玉,陈辉扬</t>
  </si>
  <si>
    <t>F950039202464566</t>
  </si>
  <si>
    <t>王应高</t>
  </si>
  <si>
    <t>王佳玉,王应高,王皓轩</t>
  </si>
  <si>
    <t>F950039933714717</t>
  </si>
  <si>
    <t>曾传和</t>
  </si>
  <si>
    <t>邓国强,曾传和,曾吉伦</t>
  </si>
  <si>
    <t>F950040142776853</t>
  </si>
  <si>
    <t>邓仕江</t>
  </si>
  <si>
    <t>邓仕江,邓昌容</t>
  </si>
  <si>
    <t>F950041069339851</t>
  </si>
  <si>
    <t>张光荣,卢光平</t>
  </si>
  <si>
    <t>F950042942933075</t>
  </si>
  <si>
    <t>廖朝永</t>
  </si>
  <si>
    <t>廖朝永,廖琴,廖乐萍,曾传和,廖廷松</t>
  </si>
  <si>
    <t>F016738706863401</t>
  </si>
  <si>
    <t>花园村委会</t>
  </si>
  <si>
    <t>王喜</t>
  </si>
  <si>
    <t>F306464819522197</t>
  </si>
  <si>
    <t>邹晓群</t>
  </si>
  <si>
    <t>邹晓群,邓涛,卢光荣</t>
  </si>
  <si>
    <t>F323225763704940</t>
  </si>
  <si>
    <t>黄维友</t>
  </si>
  <si>
    <t>曾丽丹,黄维友</t>
  </si>
  <si>
    <t>F403079337902965</t>
  </si>
  <si>
    <t>邹泽权</t>
  </si>
  <si>
    <t>邹品佑,邹泽权,邹瑜欣</t>
  </si>
  <si>
    <t>F445082458895240</t>
  </si>
  <si>
    <t>邓华</t>
  </si>
  <si>
    <t>F473425816751137</t>
  </si>
  <si>
    <t>邓国才</t>
  </si>
  <si>
    <t>王祖秀,邓国才</t>
  </si>
  <si>
    <t>F581268199642888</t>
  </si>
  <si>
    <t>李家贵</t>
  </si>
  <si>
    <t>F594528208513281</t>
  </si>
  <si>
    <t>王连玉</t>
  </si>
  <si>
    <t>F629699455648315</t>
  </si>
  <si>
    <t>张家忠</t>
  </si>
  <si>
    <t>张家忠,张梦婷,张春川</t>
  </si>
  <si>
    <t>F759557447234734</t>
  </si>
  <si>
    <t>周国英</t>
  </si>
  <si>
    <t>周国英,李媛乐,李刚,李颜汐</t>
  </si>
  <si>
    <t>F892998246660951</t>
  </si>
  <si>
    <t>唐诗奎</t>
  </si>
  <si>
    <t>唐瑞雪,唐浩献,唐书龙,唐诗奎,唐瑞,唐梦雪</t>
  </si>
  <si>
    <t>F934078095088347</t>
  </si>
  <si>
    <t>黄华勇</t>
  </si>
  <si>
    <t>F949982307152113</t>
  </si>
  <si>
    <t>郑勇</t>
  </si>
  <si>
    <t>F949982373401545</t>
  </si>
  <si>
    <t>王兴银</t>
  </si>
  <si>
    <t>王兴银,张光珍</t>
  </si>
  <si>
    <t>F949984090745572</t>
  </si>
  <si>
    <t>邹田先</t>
  </si>
  <si>
    <t>邹田先,程明琼,邹泽军</t>
  </si>
  <si>
    <t>F950009856370254</t>
  </si>
  <si>
    <t>F950013202933295</t>
  </si>
  <si>
    <t>罗时禄</t>
  </si>
  <si>
    <t>F950013511995728</t>
  </si>
  <si>
    <t>王林先</t>
  </si>
  <si>
    <t>闫邦翠,王林先</t>
  </si>
  <si>
    <t>F950014568870293</t>
  </si>
  <si>
    <t>王建奎</t>
  </si>
  <si>
    <t>王琴,李贤英,王建奎,冯光美,王博</t>
  </si>
  <si>
    <t>F950015796839782</t>
  </si>
  <si>
    <t>王修华</t>
  </si>
  <si>
    <t>王明艮,王修华</t>
  </si>
  <si>
    <t>F950016335589876</t>
  </si>
  <si>
    <t>王道运</t>
  </si>
  <si>
    <t>F950016600276849</t>
  </si>
  <si>
    <t>魏志凤</t>
  </si>
  <si>
    <t>F950016629495314</t>
  </si>
  <si>
    <t>卢开去</t>
  </si>
  <si>
    <t>F950018695433309</t>
  </si>
  <si>
    <t>王道远</t>
  </si>
  <si>
    <t>F950022424027255</t>
  </si>
  <si>
    <t>文成军</t>
  </si>
  <si>
    <t>张安兰,文成军,文治金,文小强,文静平</t>
  </si>
  <si>
    <t>F950025230277025</t>
  </si>
  <si>
    <t>熊世奎</t>
  </si>
  <si>
    <t>熊世奎,熊千山,熊长林,邓明凤</t>
  </si>
  <si>
    <t>F950025819495527</t>
  </si>
  <si>
    <t>王坤</t>
  </si>
  <si>
    <t>龙树容,王坤</t>
  </si>
  <si>
    <t>F950026094964259</t>
  </si>
  <si>
    <t>唐书聪</t>
  </si>
  <si>
    <t>邓睿,陈明琼,唐书聪,刘欣奕,唐科燕</t>
  </si>
  <si>
    <t>F950026158401978</t>
  </si>
  <si>
    <t>李龙明</t>
  </si>
  <si>
    <t>李龙明,徐吉良</t>
  </si>
  <si>
    <t>F950026774495600</t>
  </si>
  <si>
    <t>王伦拾</t>
  </si>
  <si>
    <t>F950027792464600</t>
  </si>
  <si>
    <t>杨永贵</t>
  </si>
  <si>
    <t>杨雄,王遵明,杨远深,杨永贵</t>
  </si>
  <si>
    <t>F950027795120807</t>
  </si>
  <si>
    <t>张明高</t>
  </si>
  <si>
    <t>F950028841527284</t>
  </si>
  <si>
    <t>F950029915901844</t>
  </si>
  <si>
    <t>邓国森</t>
  </si>
  <si>
    <t>F950030005589312</t>
  </si>
  <si>
    <t>卢光银</t>
  </si>
  <si>
    <t>卢斌权,闫帮荣,卢光银</t>
  </si>
  <si>
    <t>F950030071683359</t>
  </si>
  <si>
    <t>成忠贵</t>
  </si>
  <si>
    <t>成忠贵,成雄,成城,卢宗满,成强</t>
  </si>
  <si>
    <t>F950030574026636</t>
  </si>
  <si>
    <t>陈明高</t>
  </si>
  <si>
    <t>陈明高,陈修才</t>
  </si>
  <si>
    <t>F950030975276912</t>
  </si>
  <si>
    <t>邹泽律</t>
  </si>
  <si>
    <t>聂春英,邹品万,邹泽律,邹品仲,邹妃</t>
  </si>
  <si>
    <t>F950034351683341</t>
  </si>
  <si>
    <t>王章录</t>
  </si>
  <si>
    <t>张晓琴,陈利全,王用梅,王章录,王国才,王国友,王艺圣,王洁</t>
  </si>
  <si>
    <t>F950035171682902</t>
  </si>
  <si>
    <t>熊永树</t>
  </si>
  <si>
    <t>熊永树,王用琼,熊婷婷</t>
  </si>
  <si>
    <t>F950036259495511</t>
  </si>
  <si>
    <t>宋志祥</t>
  </si>
  <si>
    <t>宋邦兵,陈明香,王群,宋志祥</t>
  </si>
  <si>
    <t>F950036682620300</t>
  </si>
  <si>
    <t>曾帮秀</t>
  </si>
  <si>
    <t>曾帮秀,敖天伟</t>
  </si>
  <si>
    <t>F950036794027285</t>
  </si>
  <si>
    <t>悦训兵</t>
  </si>
  <si>
    <t>悦训兵,悦祖金,曾碧英,悦凯莉</t>
  </si>
  <si>
    <t>F950037097776882</t>
  </si>
  <si>
    <t>熊长俊</t>
  </si>
  <si>
    <t>郑龙明,熊世明,熊瑞,熊长俊,熊发兰,熊艳</t>
  </si>
  <si>
    <t>F950038011683025</t>
  </si>
  <si>
    <t>范贵贤</t>
  </si>
  <si>
    <t>F950038450901827</t>
  </si>
  <si>
    <t>王伦权</t>
  </si>
  <si>
    <t>王伦权,王甜</t>
  </si>
  <si>
    <t>F950038594652304</t>
  </si>
  <si>
    <t>范嗣珍,赵成贵,赵友亨,赵成会</t>
  </si>
  <si>
    <t>F950038952933352</t>
  </si>
  <si>
    <t>李树其</t>
  </si>
  <si>
    <t>郑志华,李树其,李春燕</t>
  </si>
  <si>
    <t>F950042279964624</t>
  </si>
  <si>
    <t>王道兵</t>
  </si>
  <si>
    <t>F950042789495437</t>
  </si>
  <si>
    <t>张三蓉</t>
  </si>
  <si>
    <t>F950043224964539</t>
  </si>
  <si>
    <t>陈立惠</t>
  </si>
  <si>
    <t>陈立惠,杨睿</t>
  </si>
  <si>
    <t>F950044282776924</t>
  </si>
  <si>
    <t>张兴兰,张家荣,张冬摇,成开秀</t>
  </si>
  <si>
    <t>F950044331839202</t>
  </si>
  <si>
    <t>王金盆</t>
  </si>
  <si>
    <t>F977784681761098</t>
  </si>
  <si>
    <t>王明均</t>
  </si>
  <si>
    <t>F983679558196416</t>
  </si>
  <si>
    <t>王道兴</t>
  </si>
  <si>
    <t>F020971775136055</t>
  </si>
  <si>
    <t>五显村委会</t>
  </si>
  <si>
    <t>曾才方</t>
  </si>
  <si>
    <t>F020983793868575</t>
  </si>
  <si>
    <t>余胜华</t>
  </si>
  <si>
    <t>余军,谭国祥,余胜华</t>
  </si>
  <si>
    <t>F040345859825115</t>
  </si>
  <si>
    <t>杨大立</t>
  </si>
  <si>
    <t>雷永润,杨大立</t>
  </si>
  <si>
    <t>F040347286553787</t>
  </si>
  <si>
    <t>马雪源</t>
  </si>
  <si>
    <t>马雪源,马诺兰</t>
  </si>
  <si>
    <t>F048491319996312</t>
  </si>
  <si>
    <t>陈祖双</t>
  </si>
  <si>
    <t>陈祖双,陈红,陈陆军</t>
  </si>
  <si>
    <t>F123514220571489</t>
  </si>
  <si>
    <t>刘兴远</t>
  </si>
  <si>
    <t>刘宏,刘兴远</t>
  </si>
  <si>
    <t>F192253828245182</t>
  </si>
  <si>
    <t>唐发军</t>
  </si>
  <si>
    <t>唐发军,曾才明,唐雄</t>
  </si>
  <si>
    <t>F215045105716272</t>
  </si>
  <si>
    <t>刘琼光</t>
  </si>
  <si>
    <t>刘琼光,谭加,谭博玲</t>
  </si>
  <si>
    <t>F215054024778893</t>
  </si>
  <si>
    <t>戴华安</t>
  </si>
  <si>
    <t>F215060557591354</t>
  </si>
  <si>
    <t>罗应平</t>
  </si>
  <si>
    <t>邓睫凡,邓集升,李龙凤,罗应平</t>
  </si>
  <si>
    <t>F215065531497172</t>
  </si>
  <si>
    <t>谭国安</t>
  </si>
  <si>
    <t>F215068656184302</t>
  </si>
  <si>
    <t>邓仕川</t>
  </si>
  <si>
    <t>邓仕川,邓猛,邓椿南</t>
  </si>
  <si>
    <t>F215077711809734</t>
  </si>
  <si>
    <t>韦世安</t>
  </si>
  <si>
    <t>F215079192122312</t>
  </si>
  <si>
    <t>唐明洪</t>
  </si>
  <si>
    <t>唐沐洋,唐雨洁,唐明洪</t>
  </si>
  <si>
    <t>F215085628059645</t>
  </si>
  <si>
    <t>邓仕根</t>
  </si>
  <si>
    <t>邓志强,邓仕根</t>
  </si>
  <si>
    <t>F215094226184732</t>
  </si>
  <si>
    <t>陈明万,潭益珍</t>
  </si>
  <si>
    <t>F215097498684498</t>
  </si>
  <si>
    <t>杨玖林</t>
  </si>
  <si>
    <t>杨玖林,何华平,刘渊,刘嘉幸,刘爽</t>
  </si>
  <si>
    <t>F229758652371348</t>
  </si>
  <si>
    <t>艾权方</t>
  </si>
  <si>
    <t>艾权方,艾渝彬,曹立芝</t>
  </si>
  <si>
    <t>F261866951690333</t>
  </si>
  <si>
    <t>王俊华</t>
  </si>
  <si>
    <t>王俊华,周贤秀,王怀平,王召权</t>
  </si>
  <si>
    <t>F289385119134285</t>
  </si>
  <si>
    <t>罗清华</t>
  </si>
  <si>
    <t>F290368297728381</t>
  </si>
  <si>
    <t>蓝代春</t>
  </si>
  <si>
    <t>F291998094134672</t>
  </si>
  <si>
    <t>李书银</t>
  </si>
  <si>
    <t>F306323404812197</t>
  </si>
  <si>
    <t>刘羽涵,刘孟江,王显容</t>
  </si>
  <si>
    <t>F387204084594397</t>
  </si>
  <si>
    <t>罗清贵</t>
  </si>
  <si>
    <t>F447944149391591</t>
  </si>
  <si>
    <t>F496367635837978</t>
  </si>
  <si>
    <t>F496368988697995</t>
  </si>
  <si>
    <t>袁群安</t>
  </si>
  <si>
    <t>F540995374245617</t>
  </si>
  <si>
    <t>李正乾</t>
  </si>
  <si>
    <t>李正乾,周清友,王本遮,王强,李天兰,王学梅</t>
  </si>
  <si>
    <t>F545944352195126</t>
  </si>
  <si>
    <t>邓锋</t>
  </si>
  <si>
    <t>F594328799441084</t>
  </si>
  <si>
    <t>王祖明</t>
  </si>
  <si>
    <t>王祖明,王璐,陈明琼,王瑞,王珊,龙承明</t>
  </si>
  <si>
    <t>F594344179245879</t>
  </si>
  <si>
    <t>黄贞权</t>
  </si>
  <si>
    <t>黄贞权,古文英,黄祥桂</t>
  </si>
  <si>
    <t>F595289698962953</t>
  </si>
  <si>
    <t>王树华</t>
  </si>
  <si>
    <t>王丽婷,杨仙兰,王林雪,王宁静,王树华,王艳婷,王晓东</t>
  </si>
  <si>
    <t>F604372335569058</t>
  </si>
  <si>
    <t>余方</t>
  </si>
  <si>
    <t>余方,陈财辉,陈美桦</t>
  </si>
  <si>
    <t>F720710610547711</t>
  </si>
  <si>
    <t>赵梦,赵可,赵成明,刘新玉,张大恩</t>
  </si>
  <si>
    <t>F815383115432087</t>
  </si>
  <si>
    <t>罗俊杰</t>
  </si>
  <si>
    <t>罗俊杰,张平,罗贤高,王先慧,罗裔富,罗彩霞</t>
  </si>
  <si>
    <t>F860518320004888</t>
  </si>
  <si>
    <t>何贵权</t>
  </si>
  <si>
    <t>F860521027291336</t>
  </si>
  <si>
    <t>邹永先</t>
  </si>
  <si>
    <t>F893829839561837</t>
  </si>
  <si>
    <t>谭清华</t>
  </si>
  <si>
    <t>F949982090589839</t>
  </si>
  <si>
    <t>李大平</t>
  </si>
  <si>
    <t>F949982383246067</t>
  </si>
  <si>
    <t>杨波林</t>
  </si>
  <si>
    <t>杨堡兴,黎仕富,杨聪,杨波林,夏怀银</t>
  </si>
  <si>
    <t>F949982502776680</t>
  </si>
  <si>
    <t>王光其</t>
  </si>
  <si>
    <t>王光其,李兴润</t>
  </si>
  <si>
    <t>F949984254026585</t>
  </si>
  <si>
    <t>张雄</t>
  </si>
  <si>
    <t>张奎,张雄</t>
  </si>
  <si>
    <t>F950011699807956</t>
  </si>
  <si>
    <t>林仁堂</t>
  </si>
  <si>
    <t>林坜,林仁堂,罗礼华,林健权</t>
  </si>
  <si>
    <t>F950011776683575</t>
  </si>
  <si>
    <t>陈大明</t>
  </si>
  <si>
    <t>陈美林,陈长春,陈大明</t>
  </si>
  <si>
    <t>F950014434964503</t>
  </si>
  <si>
    <t>李先翠</t>
  </si>
  <si>
    <t>邓仕均,邓力荣,李先翠</t>
  </si>
  <si>
    <t>F950014810432975</t>
  </si>
  <si>
    <t>王尊林</t>
  </si>
  <si>
    <t>王尊林,王明亮</t>
  </si>
  <si>
    <t>F950015196995333</t>
  </si>
  <si>
    <t>李明友</t>
  </si>
  <si>
    <t>李瑞,李明友</t>
  </si>
  <si>
    <t>F950015549964075</t>
  </si>
  <si>
    <t>张开友,王祖斌,蓝永乾,张琼,蓝林杉,蓝铃鸿</t>
  </si>
  <si>
    <t>F950015684495468</t>
  </si>
  <si>
    <t>陈道奎</t>
  </si>
  <si>
    <t>陈道奎,李正明</t>
  </si>
  <si>
    <t>F950016726527042</t>
  </si>
  <si>
    <t>柏华林</t>
  </si>
  <si>
    <t>罗明富,柏华林</t>
  </si>
  <si>
    <t>F950018576526861</t>
  </si>
  <si>
    <t>王俊榜</t>
  </si>
  <si>
    <t>杨明英,王俊榜</t>
  </si>
  <si>
    <t>F950018648870582</t>
  </si>
  <si>
    <t>吴正奎</t>
  </si>
  <si>
    <t>吴明阳,吴正奎</t>
  </si>
  <si>
    <t>F950020350433322</t>
  </si>
  <si>
    <t>李贵华</t>
  </si>
  <si>
    <t>F950022447464962</t>
  </si>
  <si>
    <t>王先其</t>
  </si>
  <si>
    <t>王先其,王仕贵</t>
  </si>
  <si>
    <t>F950022579651931</t>
  </si>
  <si>
    <t>王祖秋</t>
  </si>
  <si>
    <t>F950022640120652</t>
  </si>
  <si>
    <t>陈道海</t>
  </si>
  <si>
    <t>F950024231370936</t>
  </si>
  <si>
    <t>袁公权</t>
  </si>
  <si>
    <t>宋宗云,袁公权</t>
  </si>
  <si>
    <t>F950025000901697</t>
  </si>
  <si>
    <t>李文杰</t>
  </si>
  <si>
    <t>李文杰,胜洛阿子,刘世华,李晓明</t>
  </si>
  <si>
    <t>F950025224339238</t>
  </si>
  <si>
    <t>敖国程</t>
  </si>
  <si>
    <t>敖相程,敖国程,邓昌陆</t>
  </si>
  <si>
    <t>F950025236214432</t>
  </si>
  <si>
    <t>卢炳锐</t>
  </si>
  <si>
    <t>F950026164339505</t>
  </si>
  <si>
    <t>谭元恩</t>
  </si>
  <si>
    <t>F950027778714499</t>
  </si>
  <si>
    <t>唐恩友</t>
  </si>
  <si>
    <t>唐恩友,刘世平,唐发祥</t>
  </si>
  <si>
    <t>F950028829339607</t>
  </si>
  <si>
    <t>张开银</t>
  </si>
  <si>
    <t>张红,张开银</t>
  </si>
  <si>
    <t>F950030352308186</t>
  </si>
  <si>
    <t>黎悦全</t>
  </si>
  <si>
    <t>F950031765589997</t>
  </si>
  <si>
    <t>黄大雁</t>
  </si>
  <si>
    <t>王学英,黄大雁</t>
  </si>
  <si>
    <t>F950031955276800</t>
  </si>
  <si>
    <t>赖庆高</t>
  </si>
  <si>
    <t>阳碧容,赖庆高</t>
  </si>
  <si>
    <t>F950032134339377</t>
  </si>
  <si>
    <t>杨定树</t>
  </si>
  <si>
    <t>王吉明,王国银,杨定树</t>
  </si>
  <si>
    <t>F950032490276959</t>
  </si>
  <si>
    <t>袁孔礼</t>
  </si>
  <si>
    <t>F950032754651886</t>
  </si>
  <si>
    <t>黄录海</t>
  </si>
  <si>
    <t>F950032866683327</t>
  </si>
  <si>
    <t>伍朝贵</t>
  </si>
  <si>
    <t>谭达,伍朝贵</t>
  </si>
  <si>
    <t>F950032891683092</t>
  </si>
  <si>
    <t>袁孟才</t>
  </si>
  <si>
    <t>F950032958870802</t>
  </si>
  <si>
    <t>刘永光</t>
  </si>
  <si>
    <t>张炜,张仕林,刘永光,张易涵,张雨婷</t>
  </si>
  <si>
    <t>F950032981527106</t>
  </si>
  <si>
    <t>周多珍</t>
  </si>
  <si>
    <t>F950033169339404</t>
  </si>
  <si>
    <t>谭建</t>
  </si>
  <si>
    <t>谭建,谭德强,赵品芳,谭秀楠,谭国杨</t>
  </si>
  <si>
    <t>F950033200912080</t>
  </si>
  <si>
    <t>袁孟升</t>
  </si>
  <si>
    <t>F950033716995653</t>
  </si>
  <si>
    <t>董玉兴</t>
  </si>
  <si>
    <t>董玉兴,董红宾</t>
  </si>
  <si>
    <t>F950034010901901</t>
  </si>
  <si>
    <t>杨通珍</t>
  </si>
  <si>
    <t>F950034975745307</t>
  </si>
  <si>
    <t>陈道兴</t>
  </si>
  <si>
    <t>F950037033558389</t>
  </si>
  <si>
    <t>袁明安</t>
  </si>
  <si>
    <t>郑天秀,袁勤,袁明安</t>
  </si>
  <si>
    <t>F950037080901962</t>
  </si>
  <si>
    <t>廖前平</t>
  </si>
  <si>
    <t>F950037201839714</t>
  </si>
  <si>
    <t>何华斌</t>
  </si>
  <si>
    <t>F950038563714096</t>
  </si>
  <si>
    <t>谭国全</t>
  </si>
  <si>
    <t>谭国全,谭正容</t>
  </si>
  <si>
    <t>F950038582464343</t>
  </si>
  <si>
    <t>王伯凡</t>
  </si>
  <si>
    <t>王仕林,王伯凡</t>
  </si>
  <si>
    <t>F950039005276863</t>
  </si>
  <si>
    <t>刘国厚</t>
  </si>
  <si>
    <t>伍朝彩,刘国厚</t>
  </si>
  <si>
    <t>F950043072308555</t>
  </si>
  <si>
    <t>汪玉兰</t>
  </si>
  <si>
    <t>杨定乾,汪玉兰</t>
  </si>
  <si>
    <t>F950043078089719</t>
  </si>
  <si>
    <t>兰伯宽</t>
  </si>
  <si>
    <t>兰伯宽,柏文才,兰梓焱</t>
  </si>
  <si>
    <t>F950043099964439</t>
  </si>
  <si>
    <t>刘正厚</t>
  </si>
  <si>
    <t>F950044599808132</t>
  </si>
  <si>
    <t>陈道容</t>
  </si>
  <si>
    <t>陈道容,谭宗立</t>
  </si>
  <si>
    <t>F950044822151674</t>
  </si>
  <si>
    <t>李光平</t>
  </si>
  <si>
    <t>F973439266385005</t>
  </si>
  <si>
    <t>鲁普友</t>
  </si>
  <si>
    <t>谭益述,鲁普友,鲁镇权</t>
  </si>
  <si>
    <t>F973451822435987</t>
  </si>
  <si>
    <t>杨进贵</t>
  </si>
  <si>
    <t>杨佳,杨进贵,杨嘉兴,敖连珍</t>
  </si>
  <si>
    <t>F973458662262274</t>
  </si>
  <si>
    <t>邓昌云</t>
  </si>
  <si>
    <t>邓昌云,邓欣兰</t>
  </si>
  <si>
    <t>F997502090062337</t>
  </si>
  <si>
    <t>王四财</t>
  </si>
  <si>
    <t>覃忠超,王四财,王慧雪</t>
  </si>
  <si>
    <t>F036378562775723</t>
  </si>
  <si>
    <t>杨村乡</t>
  </si>
  <si>
    <t>桢楠村委会</t>
  </si>
  <si>
    <t>邱自力</t>
  </si>
  <si>
    <t>F036380249962567</t>
  </si>
  <si>
    <t>邱云富</t>
  </si>
  <si>
    <t>李家均,邱新,邱云富</t>
  </si>
  <si>
    <t>F036404661525578</t>
  </si>
  <si>
    <t>吴林宽</t>
  </si>
  <si>
    <t>吴林宽,吴曼玉</t>
  </si>
  <si>
    <t>F040438510063755</t>
  </si>
  <si>
    <t>F064860584917524</t>
  </si>
  <si>
    <t>吴林亨</t>
  </si>
  <si>
    <t>吴永明,吴晨阳,吴林亨</t>
  </si>
  <si>
    <t>F128304326482792</t>
  </si>
  <si>
    <t>吴双全</t>
  </si>
  <si>
    <t>费功秀,吴佳兴,吴双全,吴欣芋</t>
  </si>
  <si>
    <t>F296332608653489</t>
  </si>
  <si>
    <t>葛林枝</t>
  </si>
  <si>
    <t>F296522014747784</t>
  </si>
  <si>
    <t>窦成富</t>
  </si>
  <si>
    <t>费治珍,窦成富</t>
  </si>
  <si>
    <t>F296534968341367</t>
  </si>
  <si>
    <t>邱云六</t>
  </si>
  <si>
    <t>邱云六,吴永凤</t>
  </si>
  <si>
    <t>F438160806810080</t>
  </si>
  <si>
    <t>伍碧霞</t>
  </si>
  <si>
    <t>F759558123329283</t>
  </si>
  <si>
    <t>邱云章</t>
  </si>
  <si>
    <t>唐瑜苓,邱晓英,邱晓琴,夏莎莎,邱云章,夏千意</t>
  </si>
  <si>
    <t>F950011366370893</t>
  </si>
  <si>
    <t>屈树华</t>
  </si>
  <si>
    <t>屈树华,朱成香</t>
  </si>
  <si>
    <t>F950013484339021</t>
  </si>
  <si>
    <t>吴永才</t>
  </si>
  <si>
    <t>F950014376839454</t>
  </si>
  <si>
    <t>陈碧全</t>
  </si>
  <si>
    <t>吴林书,陈碧全</t>
  </si>
  <si>
    <t>F950015597464452</t>
  </si>
  <si>
    <t>邱林森</t>
  </si>
  <si>
    <t>F950016801214319</t>
  </si>
  <si>
    <t>李良才</t>
  </si>
  <si>
    <t>邱兴秀,李良才,李冬梅</t>
  </si>
  <si>
    <t>F950018537620959</t>
  </si>
  <si>
    <t>王淑均</t>
  </si>
  <si>
    <t>F950020328714430</t>
  </si>
  <si>
    <t>邱桂才</t>
  </si>
  <si>
    <t>邱佳淋,邱桂才</t>
  </si>
  <si>
    <t>F950026293089711</t>
  </si>
  <si>
    <t>唐勤秀,邱兴明,邱博文</t>
  </si>
  <si>
    <t>F950027077620560</t>
  </si>
  <si>
    <t>何国有</t>
  </si>
  <si>
    <t>F950028226214363</t>
  </si>
  <si>
    <t>杨春明</t>
  </si>
  <si>
    <t>杨平,杨春明</t>
  </si>
  <si>
    <t>F950030149964224</t>
  </si>
  <si>
    <t>龙德枝</t>
  </si>
  <si>
    <t>F950030335901741</t>
  </si>
  <si>
    <t>吴晓云</t>
  </si>
  <si>
    <t>吴晓云,万秀兰,吴松树,吴松林</t>
  </si>
  <si>
    <t>F950030491995547</t>
  </si>
  <si>
    <t>王富平</t>
  </si>
  <si>
    <t>F950030588089275</t>
  </si>
  <si>
    <t>黄顺枝</t>
  </si>
  <si>
    <t>邱治富,黄顺枝</t>
  </si>
  <si>
    <t>F950032347933160</t>
  </si>
  <si>
    <t>费功奎</t>
  </si>
  <si>
    <t>F950035061526910</t>
  </si>
  <si>
    <t>吴永忠</t>
  </si>
  <si>
    <t>吴永忠,李艮秀,吴锦龙,吴林富,吴析瀚</t>
  </si>
  <si>
    <t>F950036570276822</t>
  </si>
  <si>
    <t>邱兴坦</t>
  </si>
  <si>
    <t>吴林香,邱兴坦</t>
  </si>
  <si>
    <t>F950039758558053</t>
  </si>
  <si>
    <t>费泽全</t>
  </si>
  <si>
    <t>赵忠兰,费俊辰,费榆茗,吴永书,费泽全</t>
  </si>
  <si>
    <t>F950040181058273</t>
  </si>
  <si>
    <t>费华</t>
  </si>
  <si>
    <t>费华,胡桂珍</t>
  </si>
  <si>
    <t>F950040390277101</t>
  </si>
  <si>
    <t>费功然</t>
  </si>
  <si>
    <t>F950041992464652</t>
  </si>
  <si>
    <t>陈作会</t>
  </si>
  <si>
    <t>F950042129339084</t>
  </si>
  <si>
    <t>张洪全</t>
  </si>
  <si>
    <t>F950043085745847</t>
  </si>
  <si>
    <t>杨云才</t>
  </si>
  <si>
    <t>杨云才,杨宏林,邱益均</t>
  </si>
  <si>
    <t>F950044789495651</t>
  </si>
  <si>
    <t>费朝帮</t>
  </si>
  <si>
    <t>费朝帮,费开华</t>
  </si>
  <si>
    <t>F233036554186449</t>
  </si>
  <si>
    <t>茨岩村委会</t>
  </si>
  <si>
    <t>何淑香</t>
  </si>
  <si>
    <t>蔡华蓉,张川平,何淑香</t>
  </si>
  <si>
    <t>F391181089276985</t>
  </si>
  <si>
    <t>陈高强</t>
  </si>
  <si>
    <t>陈高强,卢龙清</t>
  </si>
  <si>
    <t>F446592564881547</t>
  </si>
  <si>
    <t>王明友</t>
  </si>
  <si>
    <t>尹龙香,王能虎,王明友</t>
  </si>
  <si>
    <t>F446602114071585</t>
  </si>
  <si>
    <t>钟玉亮</t>
  </si>
  <si>
    <t>钟玉亮,刘桂连,钟泽明</t>
  </si>
  <si>
    <t>F549480166716749</t>
  </si>
  <si>
    <t>张利元</t>
  </si>
  <si>
    <t>杨文强,张友银,张洋嘉,张利元,周文秀,张蓝丹</t>
  </si>
  <si>
    <t>F549602536579783</t>
  </si>
  <si>
    <t>严永富</t>
  </si>
  <si>
    <t>严永富,黄春枝,严世节</t>
  </si>
  <si>
    <t>F549609389548467</t>
  </si>
  <si>
    <t>尹龙超</t>
  </si>
  <si>
    <t>F574735279694813</t>
  </si>
  <si>
    <t>胡太明</t>
  </si>
  <si>
    <t>胡忻怡,胡太明,尹龙秀</t>
  </si>
  <si>
    <t>F603769064944036</t>
  </si>
  <si>
    <t>尹春芝</t>
  </si>
  <si>
    <t>伍桂兰,石静,尹春芝</t>
  </si>
  <si>
    <t>F815378139792434</t>
  </si>
  <si>
    <t>F950020737152350</t>
  </si>
  <si>
    <t>何晓容</t>
  </si>
  <si>
    <t>吴桂芳,何晓容</t>
  </si>
  <si>
    <t>F950026284807960</t>
  </si>
  <si>
    <t>陈林</t>
  </si>
  <si>
    <t>F950035083714597</t>
  </si>
  <si>
    <t>方云秀</t>
  </si>
  <si>
    <t>何太明,方云秀</t>
  </si>
  <si>
    <t>F950042386058553</t>
  </si>
  <si>
    <t>尹龙贵</t>
  </si>
  <si>
    <t>尹龙贵,杨树华</t>
  </si>
  <si>
    <t>F983746484407333</t>
  </si>
  <si>
    <t>王传安</t>
  </si>
  <si>
    <t>F036401319963081</t>
  </si>
  <si>
    <t>碑坪村委会</t>
  </si>
  <si>
    <t>何永其</t>
  </si>
  <si>
    <t>F036406391681745</t>
  </si>
  <si>
    <t>王显清</t>
  </si>
  <si>
    <t>王显清,吴兴枝,王泽明,王艺霖</t>
  </si>
  <si>
    <t>F040450358400735</t>
  </si>
  <si>
    <t>王兴定</t>
  </si>
  <si>
    <t>王树安,王艳萍,赵启枝,曲别知乌,王兴定,王筱雅</t>
  </si>
  <si>
    <t>F268661438142397</t>
  </si>
  <si>
    <t>李忠桃</t>
  </si>
  <si>
    <t>F516355895093903</t>
  </si>
  <si>
    <t>何永卫</t>
  </si>
  <si>
    <t>何兴平,何永卫,张真琼</t>
  </si>
  <si>
    <t>F630333454867076</t>
  </si>
  <si>
    <t>刘正明</t>
  </si>
  <si>
    <t>刘春佑,刘正明</t>
  </si>
  <si>
    <t>F630339395960807</t>
  </si>
  <si>
    <t>陈立全</t>
  </si>
  <si>
    <t>F681430775033010</t>
  </si>
  <si>
    <t>卢秀华</t>
  </si>
  <si>
    <t>F950013490120837</t>
  </si>
  <si>
    <t>吴天秀</t>
  </si>
  <si>
    <t>吴天秀,黄燕君,何宜兰,何润德,何昊阳</t>
  </si>
  <si>
    <t>F950024505745613</t>
  </si>
  <si>
    <t>夏柏术</t>
  </si>
  <si>
    <t>夏柏术,赵先贵,赵思静</t>
  </si>
  <si>
    <t>F950024814808173</t>
  </si>
  <si>
    <t>费功银</t>
  </si>
  <si>
    <t>费功银,何凤枝,费泽斌,费字强</t>
  </si>
  <si>
    <t>F950027020433154</t>
  </si>
  <si>
    <t>何书伦</t>
  </si>
  <si>
    <t>F950032281370816</t>
  </si>
  <si>
    <t>李泽云</t>
  </si>
  <si>
    <t>F973342883054844</t>
  </si>
  <si>
    <t>刘正友</t>
  </si>
  <si>
    <t>F036371457619205</t>
  </si>
  <si>
    <t>硝坝村委会</t>
  </si>
  <si>
    <t>李正旭</t>
  </si>
  <si>
    <t>李正旭,胡世军</t>
  </si>
  <si>
    <t>F267160648923424</t>
  </si>
  <si>
    <t>杨俊枢</t>
  </si>
  <si>
    <t>杨晓东,杨洁,杨小峰,杨俊枢,杨才友</t>
  </si>
  <si>
    <t>F284930695031601</t>
  </si>
  <si>
    <t>孙招文</t>
  </si>
  <si>
    <t>孙招文,孙静</t>
  </si>
  <si>
    <t>F284935952523969</t>
  </si>
  <si>
    <t>朱嘉斌</t>
  </si>
  <si>
    <t>张树容,朱嘉斌</t>
  </si>
  <si>
    <t>F296538545528586</t>
  </si>
  <si>
    <t>吕大文</t>
  </si>
  <si>
    <t>王成支,吕大文,吕宋,吕露</t>
  </si>
  <si>
    <t>F296628273341723</t>
  </si>
  <si>
    <t>齐加洪</t>
  </si>
  <si>
    <t>F296629388965673</t>
  </si>
  <si>
    <t>刘仁飞</t>
  </si>
  <si>
    <t>刘仁飞,刘仁洪</t>
  </si>
  <si>
    <t>F296633513810043</t>
  </si>
  <si>
    <t>吕勇</t>
  </si>
  <si>
    <t>吕勇,邱荣枝,吕佳欣,吕大超,吕佳宜</t>
  </si>
  <si>
    <t>F575251121045784</t>
  </si>
  <si>
    <t>彭生友</t>
  </si>
  <si>
    <t>彭生友,曾加凤,彭志军,彭丽</t>
  </si>
  <si>
    <t>F629453394710806</t>
  </si>
  <si>
    <t>徐云华</t>
  </si>
  <si>
    <t>徐笛淞,潘小凤,徐滟珽,徐鑫怡,徐云华</t>
  </si>
  <si>
    <t>F707374634458609</t>
  </si>
  <si>
    <t>曾朝付</t>
  </si>
  <si>
    <t>曾佳春,曾佳翔,曾朝付,谭晓英,曾佳智,曾全明</t>
  </si>
  <si>
    <t>F840275643158561</t>
  </si>
  <si>
    <t>周洪</t>
  </si>
  <si>
    <t>刘光枝,周俊杰,周洪</t>
  </si>
  <si>
    <t>F847763709724323</t>
  </si>
  <si>
    <t>胡九连</t>
  </si>
  <si>
    <t>胡九连,吕世松</t>
  </si>
  <si>
    <t>F888840693004937</t>
  </si>
  <si>
    <t>齐文乐</t>
  </si>
  <si>
    <t>F918044464365762</t>
  </si>
  <si>
    <t>艾成均</t>
  </si>
  <si>
    <t>艾成均,艾文慧,艾文静,张秀芬</t>
  </si>
  <si>
    <t>F934076888213392</t>
  </si>
  <si>
    <t>李宗恒</t>
  </si>
  <si>
    <t>F934077740401053</t>
  </si>
  <si>
    <t>候玉林</t>
  </si>
  <si>
    <t>候玉林,胡兴连</t>
  </si>
  <si>
    <t>F949989914808482</t>
  </si>
  <si>
    <t>蒋连秀</t>
  </si>
  <si>
    <t>F950015634808288</t>
  </si>
  <si>
    <t>曹明均</t>
  </si>
  <si>
    <t>万朝香,曹荣,曹明均</t>
  </si>
  <si>
    <t>F950026561059039</t>
  </si>
  <si>
    <t>范定安</t>
  </si>
  <si>
    <t>骆各拉子,范定安,范志强,范微微</t>
  </si>
  <si>
    <t>F950044056995568</t>
  </si>
  <si>
    <t>尹术珍</t>
  </si>
  <si>
    <t>万贵蓉,尹术珍</t>
  </si>
  <si>
    <t>F950044805745470</t>
  </si>
  <si>
    <t>冯绍友</t>
  </si>
  <si>
    <t>F979210119915264</t>
  </si>
  <si>
    <t>齐加田</t>
  </si>
  <si>
    <t>齐加田,齐兴艳,蒋志连,傅佳萍</t>
  </si>
  <si>
    <t>F979217549192442</t>
  </si>
  <si>
    <t>吕永芝</t>
  </si>
  <si>
    <t>F979224291565474</t>
  </si>
  <si>
    <t>曾朝品</t>
  </si>
  <si>
    <t>F979230091487854</t>
  </si>
  <si>
    <t>李万凤</t>
  </si>
  <si>
    <t>李万凤,李孝蓉,李小龙,李政国,张勤衡</t>
  </si>
  <si>
    <t>F214377992122133</t>
  </si>
  <si>
    <t>龙洞村委会</t>
  </si>
  <si>
    <t>吕玉友</t>
  </si>
  <si>
    <t>F950015029026610</t>
  </si>
  <si>
    <t>余正江</t>
  </si>
  <si>
    <t>王福英,余正江,余登位</t>
  </si>
  <si>
    <t>F979186983157349</t>
  </si>
  <si>
    <t>余应前</t>
  </si>
  <si>
    <t>胡洪容,余应前,余正科</t>
  </si>
  <si>
    <t>F979196373421012</t>
  </si>
  <si>
    <t>刘成芬</t>
  </si>
  <si>
    <t>曹清,刘成芬</t>
  </si>
  <si>
    <t>F995966558612826</t>
  </si>
  <si>
    <t>刘培超</t>
  </si>
  <si>
    <t>廖晓洪,刘培超,刘强,刘李梅</t>
  </si>
  <si>
    <t>F040443074812114</t>
  </si>
  <si>
    <t>两路村委会</t>
  </si>
  <si>
    <t>龚高明</t>
  </si>
  <si>
    <t>李书蓉,龚高明</t>
  </si>
  <si>
    <t>F268598466579239</t>
  </si>
  <si>
    <t>赵蕊婷</t>
  </si>
  <si>
    <t>F369982567895289</t>
  </si>
  <si>
    <t>何永明</t>
  </si>
  <si>
    <t>胡丽,何建城,何永明</t>
  </si>
  <si>
    <t>F498941073397947</t>
  </si>
  <si>
    <t>牛远俊</t>
  </si>
  <si>
    <t>牛思一,牛远俊,何永枝,牛刚</t>
  </si>
  <si>
    <t>F575257968086737</t>
  </si>
  <si>
    <t>何付德</t>
  </si>
  <si>
    <t>何付德,何曼兵</t>
  </si>
  <si>
    <t>F949984181995713</t>
  </si>
  <si>
    <t>朱和友</t>
  </si>
  <si>
    <t>朱原宏,朱峻秀,朱和友,吉胡铁巫,龚建珍</t>
  </si>
  <si>
    <t>F949984382933118</t>
  </si>
  <si>
    <t>朱红登</t>
  </si>
  <si>
    <t>孔柳仙,穆蓝芝,朱红登,朱浩然,朱秩君</t>
  </si>
  <si>
    <t>F950013463871030</t>
  </si>
  <si>
    <t>高远珍</t>
  </si>
  <si>
    <t>F950026350901965</t>
  </si>
  <si>
    <t>费泽容</t>
  </si>
  <si>
    <t>F950031840433625</t>
  </si>
  <si>
    <t>赵先卫</t>
  </si>
  <si>
    <t>赵先卫,赵邦铭</t>
  </si>
  <si>
    <t>F950032423089462</t>
  </si>
  <si>
    <t>卢明月</t>
  </si>
  <si>
    <t>卢明月,邱远秀</t>
  </si>
  <si>
    <t>F950033843245458</t>
  </si>
  <si>
    <t>颜德兵</t>
  </si>
  <si>
    <t>余琼芳,颜小红,颜德兵</t>
  </si>
  <si>
    <t>F950034383558025</t>
  </si>
  <si>
    <t>何秀珍</t>
  </si>
  <si>
    <t>F950034558089856</t>
  </si>
  <si>
    <t>张志文</t>
  </si>
  <si>
    <t>张志文,彭树华</t>
  </si>
  <si>
    <t>F950036996058601</t>
  </si>
  <si>
    <t>何义福</t>
  </si>
  <si>
    <t>何孝均,朱德秀,何义福</t>
  </si>
  <si>
    <t>F950039812151647</t>
  </si>
  <si>
    <t>龚全芝</t>
  </si>
  <si>
    <t>F950044504807844</t>
  </si>
  <si>
    <t>赵先泽</t>
  </si>
  <si>
    <t>赵先泽,赵芪,王月,全和英</t>
  </si>
  <si>
    <t>F950044560745437</t>
  </si>
  <si>
    <t>许在前</t>
  </si>
  <si>
    <t>F022248017475437</t>
  </si>
  <si>
    <t>新坝村委会</t>
  </si>
  <si>
    <t>邱荣宽</t>
  </si>
  <si>
    <t>邱俊纲,张德珍,张先容,邱林,邱荣宽</t>
  </si>
  <si>
    <t>F036386851369159</t>
  </si>
  <si>
    <t>张德其</t>
  </si>
  <si>
    <t>江明芝,梅小燕,张德其,张雨柔,张智诚,张智铭</t>
  </si>
  <si>
    <t>F212481358527963</t>
  </si>
  <si>
    <t>钟正前</t>
  </si>
  <si>
    <t>尹兴南,钟正前</t>
  </si>
  <si>
    <t>F212489000403786</t>
  </si>
  <si>
    <t>张德先</t>
  </si>
  <si>
    <t>邱国秀,张德先</t>
  </si>
  <si>
    <t>F212510254465927</t>
  </si>
  <si>
    <t>费功燕</t>
  </si>
  <si>
    <t>费功燕,宋和银</t>
  </si>
  <si>
    <t>F268668848298517</t>
  </si>
  <si>
    <t>罗书枝</t>
  </si>
  <si>
    <t>F283223488988587</t>
  </si>
  <si>
    <t>张德彦</t>
  </si>
  <si>
    <t>张德彦,何国文</t>
  </si>
  <si>
    <t>F283227405875080</t>
  </si>
  <si>
    <t>张先礼</t>
  </si>
  <si>
    <t>傅太秀,张先礼,张俣</t>
  </si>
  <si>
    <t>F416885326701543</t>
  </si>
  <si>
    <t>费茂</t>
  </si>
  <si>
    <t>F710137468329966</t>
  </si>
  <si>
    <t>张荣强</t>
  </si>
  <si>
    <t>杨利飞,张云涛,张荣强,张文轩</t>
  </si>
  <si>
    <t>F710162233125280</t>
  </si>
  <si>
    <t>F716609021496310</t>
  </si>
  <si>
    <t>廖相富</t>
  </si>
  <si>
    <t>F761853523192992</t>
  </si>
  <si>
    <t>王作品</t>
  </si>
  <si>
    <t>费泽秀,王作品,王军</t>
  </si>
  <si>
    <t>F865482823381903</t>
  </si>
  <si>
    <t>廖国品</t>
  </si>
  <si>
    <t>F945904681901834</t>
  </si>
  <si>
    <t>夏福安</t>
  </si>
  <si>
    <t>夏福安,夏圆</t>
  </si>
  <si>
    <t>F949982111995293</t>
  </si>
  <si>
    <t>曹代前</t>
  </si>
  <si>
    <t>曹光雪,曹雪梅,曹代前,曹轩宇</t>
  </si>
  <si>
    <t>F949982145745771</t>
  </si>
  <si>
    <t>曹光清</t>
  </si>
  <si>
    <t>F949982420745928</t>
  </si>
  <si>
    <t>李泽平</t>
  </si>
  <si>
    <t>曹云华,李泽平</t>
  </si>
  <si>
    <t>F949984061682992</t>
  </si>
  <si>
    <t>廖昌云</t>
  </si>
  <si>
    <t>F949986122620490</t>
  </si>
  <si>
    <t>邱荣仲</t>
  </si>
  <si>
    <t>邱荣仲,邱雪莲,刘发玉,邱凤琼</t>
  </si>
  <si>
    <t>F950011445589395</t>
  </si>
  <si>
    <t>廖国芝</t>
  </si>
  <si>
    <t>F950013076214386</t>
  </si>
  <si>
    <t>曹代秀</t>
  </si>
  <si>
    <t>F950013565277133</t>
  </si>
  <si>
    <t>王界云</t>
  </si>
  <si>
    <t>王界云,夏树清</t>
  </si>
  <si>
    <t>F950013568870778</t>
  </si>
  <si>
    <t>费朝洪</t>
  </si>
  <si>
    <t>候春枝,费朝洪</t>
  </si>
  <si>
    <t>F950014304651843</t>
  </si>
  <si>
    <t>万启珍</t>
  </si>
  <si>
    <t>万启珍,张杰</t>
  </si>
  <si>
    <t>F950022767933191</t>
  </si>
  <si>
    <t>任启顺</t>
  </si>
  <si>
    <t>F950024796057877</t>
  </si>
  <si>
    <t>王启刚</t>
  </si>
  <si>
    <t>王启刚,王一梅,王玉霞</t>
  </si>
  <si>
    <t>F950025091839135</t>
  </si>
  <si>
    <t>梁叔容</t>
  </si>
  <si>
    <t>F950027773245672</t>
  </si>
  <si>
    <t>何伯银</t>
  </si>
  <si>
    <t>F950030237776955</t>
  </si>
  <si>
    <t>张立金</t>
  </si>
  <si>
    <t>张立金,沙玛不都,张泽中,张钟仁</t>
  </si>
  <si>
    <t>F950031861527239</t>
  </si>
  <si>
    <t>何行元</t>
  </si>
  <si>
    <t>何安正,陈胜凤,廖学礼,何行元,何梓菡</t>
  </si>
  <si>
    <t>F950032266370558</t>
  </si>
  <si>
    <t>张文明</t>
  </si>
  <si>
    <t>张文明,张雨萱,张志明</t>
  </si>
  <si>
    <t>F950033172464089</t>
  </si>
  <si>
    <t>张崇娥</t>
  </si>
  <si>
    <t>张崇娥,费小洲,费小洋</t>
  </si>
  <si>
    <t>F950035066840059</t>
  </si>
  <si>
    <t>何安华</t>
  </si>
  <si>
    <t>何健强,何安华,叶发芬,何丹霞</t>
  </si>
  <si>
    <t>F950036322933423</t>
  </si>
  <si>
    <t>F950036353089422</t>
  </si>
  <si>
    <t>廖国坤</t>
  </si>
  <si>
    <t>廖国坤,廖永健</t>
  </si>
  <si>
    <t>F950038941527067</t>
  </si>
  <si>
    <t>张德祥</t>
  </si>
  <si>
    <t>张德祥,张慧萍</t>
  </si>
  <si>
    <t>F950039082308206</t>
  </si>
  <si>
    <t>吴永松</t>
  </si>
  <si>
    <t>吴永松,廖小容,吴川,张亨秀</t>
  </si>
  <si>
    <t>F950040226995645</t>
  </si>
  <si>
    <t>张德本</t>
  </si>
  <si>
    <t>张德本,张盼盼</t>
  </si>
  <si>
    <t>F950040782152084</t>
  </si>
  <si>
    <t>何安品</t>
  </si>
  <si>
    <t>F950040943870786</t>
  </si>
  <si>
    <t>张洪术</t>
  </si>
  <si>
    <t>张洪术,张先春</t>
  </si>
  <si>
    <t>F950041270433137</t>
  </si>
  <si>
    <t>曹代弼</t>
  </si>
  <si>
    <t>曹光俊,曹代弼,曹云川</t>
  </si>
  <si>
    <t>F950042368089965</t>
  </si>
  <si>
    <t>张仲先</t>
  </si>
  <si>
    <t>张仲先,吴秀珍,张德成</t>
  </si>
  <si>
    <t>F950042658870903</t>
  </si>
  <si>
    <t>张先太</t>
  </si>
  <si>
    <t>张先太,张梦婷,龙明珍,张小龙</t>
  </si>
  <si>
    <t>F950044194651623</t>
  </si>
  <si>
    <t>罗明贵</t>
  </si>
  <si>
    <t>F950044298714163</t>
  </si>
  <si>
    <t>杨俊德</t>
  </si>
  <si>
    <t>杨俊德,林坤富,杨连友</t>
  </si>
  <si>
    <t>F982727799143877</t>
  </si>
  <si>
    <t>陈小芬</t>
  </si>
  <si>
    <t>王必旭,王丽华,费功才,王必虎,陈小芬</t>
  </si>
  <si>
    <t>F982733281682738</t>
  </si>
  <si>
    <t>林中元</t>
  </si>
  <si>
    <t>林中元,尹云秀,朱晨阳</t>
  </si>
  <si>
    <t>F982751849690476</t>
  </si>
  <si>
    <t>邱云太</t>
  </si>
  <si>
    <t>尹龙香,邱云太,邱思源</t>
  </si>
  <si>
    <t>F002770875207868</t>
  </si>
  <si>
    <t>高笋乡</t>
  </si>
  <si>
    <t>静云村委会</t>
  </si>
  <si>
    <t>朱兴军</t>
  </si>
  <si>
    <t>朱兴军,吴朝银</t>
  </si>
  <si>
    <t>F075453504911804</t>
  </si>
  <si>
    <t>张先秀</t>
  </si>
  <si>
    <t>F234741654967338</t>
  </si>
  <si>
    <t>王跃才</t>
  </si>
  <si>
    <t>F314389790265321</t>
  </si>
  <si>
    <t>莫金贵</t>
  </si>
  <si>
    <t>F521968337185259</t>
  </si>
  <si>
    <t>朱映轩</t>
  </si>
  <si>
    <t>朱映轩,鲁荍朱溢</t>
  </si>
  <si>
    <t>F546212036257831</t>
  </si>
  <si>
    <t>李桂强</t>
  </si>
  <si>
    <t>F573521182343341</t>
  </si>
  <si>
    <t>张会义</t>
  </si>
  <si>
    <t>张会义,邹昀彤,郑仕秀</t>
  </si>
  <si>
    <t>F628036024554592</t>
  </si>
  <si>
    <t>李大珍</t>
  </si>
  <si>
    <t>F734545099527991</t>
  </si>
  <si>
    <t>吴桂芳</t>
  </si>
  <si>
    <t>F841977548164878</t>
  </si>
  <si>
    <t>曾礼,刘泽贵,王太枝,刘嘉玲,刘福平</t>
  </si>
  <si>
    <t>F945999915163167</t>
  </si>
  <si>
    <t>周安其</t>
  </si>
  <si>
    <t>周安其,吴东洋,周雨忆</t>
  </si>
  <si>
    <t>F949984195432986</t>
  </si>
  <si>
    <t>鄢盛君</t>
  </si>
  <si>
    <t>赵桂俊,周秦桧,鄢丽,鄢传雨来,鄢盛君</t>
  </si>
  <si>
    <t>F949984331370511</t>
  </si>
  <si>
    <t>何长英</t>
  </si>
  <si>
    <t>F949984396058011</t>
  </si>
  <si>
    <t>周明书</t>
  </si>
  <si>
    <t>F949984495901878</t>
  </si>
  <si>
    <t>徐元秀</t>
  </si>
  <si>
    <t>F949986006526845</t>
  </si>
  <si>
    <t>杨莲</t>
  </si>
  <si>
    <t>F949988260902146</t>
  </si>
  <si>
    <t>汪明秀</t>
  </si>
  <si>
    <t>F949990292464564</t>
  </si>
  <si>
    <t>刘泽明</t>
  </si>
  <si>
    <t>F950009773870663</t>
  </si>
  <si>
    <t>莫衿富</t>
  </si>
  <si>
    <t>F950011595901850</t>
  </si>
  <si>
    <t>周安青</t>
  </si>
  <si>
    <t>F950011784965011</t>
  </si>
  <si>
    <t>余联珍</t>
  </si>
  <si>
    <t>F950012814339490</t>
  </si>
  <si>
    <t>卿显芝</t>
  </si>
  <si>
    <t>F950012873714347</t>
  </si>
  <si>
    <t>刘基平</t>
  </si>
  <si>
    <t>刘永宏,刘莉,邱财运,许再英,刘基平,何太容</t>
  </si>
  <si>
    <t>F950013101839240</t>
  </si>
  <si>
    <t>郑仕贵</t>
  </si>
  <si>
    <t>F950013139965072</t>
  </si>
  <si>
    <t>莫施红</t>
  </si>
  <si>
    <t>罗自秀,莫施红</t>
  </si>
  <si>
    <t>F950013575277050</t>
  </si>
  <si>
    <t>鄢代贵</t>
  </si>
  <si>
    <t>F950013791060925</t>
  </si>
  <si>
    <t>李多莲</t>
  </si>
  <si>
    <t>F950014430120279</t>
  </si>
  <si>
    <t>周安位</t>
  </si>
  <si>
    <t>F950014704183043</t>
  </si>
  <si>
    <t>冷未莲</t>
  </si>
  <si>
    <t>F950014816214270</t>
  </si>
  <si>
    <t>周晓琼</t>
  </si>
  <si>
    <t>巫世平,巫世红,巫世冬,周晓琼,巫长银,巫卓家,周福贵</t>
  </si>
  <si>
    <t>F950014938089493</t>
  </si>
  <si>
    <t>刘泽容</t>
  </si>
  <si>
    <t>F950015170901651</t>
  </si>
  <si>
    <t>张荣刚</t>
  </si>
  <si>
    <t>刘基蓉,张荣刚,张丞,张静</t>
  </si>
  <si>
    <t>F950016347308135</t>
  </si>
  <si>
    <t>李桂明</t>
  </si>
  <si>
    <t>F950022450433537</t>
  </si>
  <si>
    <t>刘泽有</t>
  </si>
  <si>
    <t>王英,刘泽有,刘星</t>
  </si>
  <si>
    <t>F950022526214258</t>
  </si>
  <si>
    <t>邱兴莲</t>
  </si>
  <si>
    <t>F950022666057991</t>
  </si>
  <si>
    <t>朱成华</t>
  </si>
  <si>
    <t>汪兴全,朱梅鑫,朱成华</t>
  </si>
  <si>
    <t>F950022819183190</t>
  </si>
  <si>
    <t>王如东</t>
  </si>
  <si>
    <t>王思雨,王霞,夏统丽,王如东,周仕秀</t>
  </si>
  <si>
    <t>F950024338401801</t>
  </si>
  <si>
    <t>谢金轮</t>
  </si>
  <si>
    <t>谢金轮,谢钧,张兰清</t>
  </si>
  <si>
    <t>F950024665745547</t>
  </si>
  <si>
    <t>李仕秀</t>
  </si>
  <si>
    <t>F950025801839599</t>
  </si>
  <si>
    <t>范友卫</t>
  </si>
  <si>
    <t>孙富群,范仕银,范友卫,范敬安,范逸尘</t>
  </si>
  <si>
    <t>F950026200745714</t>
  </si>
  <si>
    <t>鄢功全</t>
  </si>
  <si>
    <t>F950026228870578</t>
  </si>
  <si>
    <t>王复秀</t>
  </si>
  <si>
    <t>F950027237308051</t>
  </si>
  <si>
    <t>谢根财</t>
  </si>
  <si>
    <t>谢文荣,徐元枢,谢根财,费朝宣</t>
  </si>
  <si>
    <t>F950027854808085</t>
  </si>
  <si>
    <t>张真学</t>
  </si>
  <si>
    <t>张真学,李多枝,张涛</t>
  </si>
  <si>
    <t>F950028098089059</t>
  </si>
  <si>
    <t>刘基富</t>
  </si>
  <si>
    <t>刘顺伦,刘基富,李治霖</t>
  </si>
  <si>
    <t>F950028554964618</t>
  </si>
  <si>
    <t>胡万荣</t>
  </si>
  <si>
    <t>胡万荣,胡志力</t>
  </si>
  <si>
    <t>F950028748558223</t>
  </si>
  <si>
    <t>吕加秀</t>
  </si>
  <si>
    <t>F950029221995504</t>
  </si>
  <si>
    <t>伍元芝</t>
  </si>
  <si>
    <t>F950030320901961</t>
  </si>
  <si>
    <t>范友贵</t>
  </si>
  <si>
    <t>F950030939339586</t>
  </si>
  <si>
    <t>谢文富</t>
  </si>
  <si>
    <t>F950030992620823</t>
  </si>
  <si>
    <t>张真全</t>
  </si>
  <si>
    <t>谢金桃,胡朝洪,张真全</t>
  </si>
  <si>
    <t>F950031789808348</t>
  </si>
  <si>
    <t>王智英,王国华</t>
  </si>
  <si>
    <t>F950031916995922</t>
  </si>
  <si>
    <t>谢金强</t>
  </si>
  <si>
    <t>F950032002464616</t>
  </si>
  <si>
    <t>夏宝珍</t>
  </si>
  <si>
    <t>F950032105120491</t>
  </si>
  <si>
    <t>胡宋春</t>
  </si>
  <si>
    <t>F950032482620417</t>
  </si>
  <si>
    <t>张兆前</t>
  </si>
  <si>
    <t>F950033120276915</t>
  </si>
  <si>
    <t>周安富</t>
  </si>
  <si>
    <t>F950034026526981</t>
  </si>
  <si>
    <t>杨常金</t>
  </si>
  <si>
    <t>F950034168089713</t>
  </si>
  <si>
    <t>罗彬</t>
  </si>
  <si>
    <t>F950034217777143</t>
  </si>
  <si>
    <t>F950034281527042</t>
  </si>
  <si>
    <t>谢金良</t>
  </si>
  <si>
    <t>谢文友,彭泽莲,谢金良</t>
  </si>
  <si>
    <t>F950034515120774</t>
  </si>
  <si>
    <t>周仕英</t>
  </si>
  <si>
    <t>F950035128870683</t>
  </si>
  <si>
    <t>赵崇明</t>
  </si>
  <si>
    <t>F950035794027010</t>
  </si>
  <si>
    <t>马桂珍</t>
  </si>
  <si>
    <t>F950037148089725</t>
  </si>
  <si>
    <t>刘应华</t>
  </si>
  <si>
    <t>F950037174964219</t>
  </si>
  <si>
    <t>张乾友</t>
  </si>
  <si>
    <t>F950038462778075</t>
  </si>
  <si>
    <t>莫先友</t>
  </si>
  <si>
    <t>莫先友,彭友珍,莫健超,莫衿福,莫东银</t>
  </si>
  <si>
    <t>F950038489964449</t>
  </si>
  <si>
    <t>朱文全</t>
  </si>
  <si>
    <t>F950038748714610</t>
  </si>
  <si>
    <t>杨易友</t>
  </si>
  <si>
    <t>F950040063245475</t>
  </si>
  <si>
    <t>付良书</t>
  </si>
  <si>
    <t>F950040763245450</t>
  </si>
  <si>
    <t>鄢盛贵</t>
  </si>
  <si>
    <t>鄢代明,鄢传康,鄢雨晴,鄢盛贵,谢金春</t>
  </si>
  <si>
    <t>F950041938402106</t>
  </si>
  <si>
    <t>祝玉秀</t>
  </si>
  <si>
    <t>祝玉秀,朱文仲,朱兴伍</t>
  </si>
  <si>
    <t>F950042489652119</t>
  </si>
  <si>
    <t>朱文前</t>
  </si>
  <si>
    <t>F950042537151795</t>
  </si>
  <si>
    <t>周平</t>
  </si>
  <si>
    <t>周平,何国英,周仕忠,周子依,何桂芝</t>
  </si>
  <si>
    <t>F950044271214308</t>
  </si>
  <si>
    <t>谢平全</t>
  </si>
  <si>
    <t>F950044624027075</t>
  </si>
  <si>
    <t>谢金仁</t>
  </si>
  <si>
    <t>F950044870433319</t>
  </si>
  <si>
    <t>李桂财</t>
  </si>
  <si>
    <t>李桂财,范进秀,李常如,李多武</t>
  </si>
  <si>
    <t>F952450653089265</t>
  </si>
  <si>
    <t>任忠贤</t>
  </si>
  <si>
    <t>任忠贤,王正楷,朱文华,王梦婷,王波</t>
  </si>
  <si>
    <t>F953413542307867</t>
  </si>
  <si>
    <t>周安文</t>
  </si>
  <si>
    <t>F002711233764262</t>
  </si>
  <si>
    <t>安坪村委会</t>
  </si>
  <si>
    <t>彭治松</t>
  </si>
  <si>
    <t>万珍永,彭玲,彭治松,彭钦</t>
  </si>
  <si>
    <t>F002717756455654</t>
  </si>
  <si>
    <t>杨才芳</t>
  </si>
  <si>
    <t>F113273077952475</t>
  </si>
  <si>
    <t>莫金富</t>
  </si>
  <si>
    <t>莫金富,莫施贵,万才兰</t>
  </si>
  <si>
    <t>F214374105247646</t>
  </si>
  <si>
    <t>王志涵</t>
  </si>
  <si>
    <t>F237715496479194</t>
  </si>
  <si>
    <t>涂大洋</t>
  </si>
  <si>
    <t>涂靖泽,涂大洋,周仕珍,涂洪全,彭吉苹,涂婧林</t>
  </si>
  <si>
    <t>F237734755384959</t>
  </si>
  <si>
    <t>叶有书</t>
  </si>
  <si>
    <t>叶兆祥,叶平,叶雨婷,潘淑莲,叶有书</t>
  </si>
  <si>
    <t>F237750856634807</t>
  </si>
  <si>
    <t>严成华</t>
  </si>
  <si>
    <t>王永华,严成华</t>
  </si>
  <si>
    <t>F293682102884810</t>
  </si>
  <si>
    <t>张世荣</t>
  </si>
  <si>
    <t>张世荣,张菏林,张凤欣,张菏燕</t>
  </si>
  <si>
    <t>F423309568060088</t>
  </si>
  <si>
    <t>张奔华</t>
  </si>
  <si>
    <t>张奔华,张媛媛</t>
  </si>
  <si>
    <t>F498622244216512</t>
  </si>
  <si>
    <t>李大均</t>
  </si>
  <si>
    <t>李大均,曲红秀</t>
  </si>
  <si>
    <t>F708403836390410</t>
  </si>
  <si>
    <t>任志禄</t>
  </si>
  <si>
    <t>任志禄,朱兴友</t>
  </si>
  <si>
    <t>F761945212920046</t>
  </si>
  <si>
    <t>包万胜</t>
  </si>
  <si>
    <t>李应芬,包万胜</t>
  </si>
  <si>
    <t>F945982403626110</t>
  </si>
  <si>
    <t>丁长寿</t>
  </si>
  <si>
    <t>F949982059495935</t>
  </si>
  <si>
    <t>彭勤</t>
  </si>
  <si>
    <t>F949982469026559</t>
  </si>
  <si>
    <t>叶兆伦</t>
  </si>
  <si>
    <t>叶兆伦,田恒琼</t>
  </si>
  <si>
    <t>F949984117620571</t>
  </si>
  <si>
    <t>王太均</t>
  </si>
  <si>
    <t>F949986099496078</t>
  </si>
  <si>
    <t>李正明</t>
  </si>
  <si>
    <t>F949989909808327</t>
  </si>
  <si>
    <t>聂远华</t>
  </si>
  <si>
    <t>聂发科,聂远华,聂莉文,包昌芬</t>
  </si>
  <si>
    <t>F950009798245559</t>
  </si>
  <si>
    <t>伍应珍</t>
  </si>
  <si>
    <t>F950011608245497</t>
  </si>
  <si>
    <t>杨玉华</t>
  </si>
  <si>
    <t>杨玉华,范定秀,杨超,杨容</t>
  </si>
  <si>
    <t>F950012973870580</t>
  </si>
  <si>
    <t>万启金</t>
  </si>
  <si>
    <t>F950013122933412</t>
  </si>
  <si>
    <t>叶有芝</t>
  </si>
  <si>
    <t>F950013226370563</t>
  </si>
  <si>
    <t>彭启珍</t>
  </si>
  <si>
    <t>F950013233714349</t>
  </si>
  <si>
    <t>包昌贵</t>
  </si>
  <si>
    <t>包昌贵,包建平,伍元书</t>
  </si>
  <si>
    <t>F950013263089436</t>
  </si>
  <si>
    <t>李大进</t>
  </si>
  <si>
    <t>F950013421682954</t>
  </si>
  <si>
    <t>杨华秀</t>
  </si>
  <si>
    <t>F950013663870457</t>
  </si>
  <si>
    <t>张先华</t>
  </si>
  <si>
    <t>杜志容,刘雨硕,张先华,任绍秀</t>
  </si>
  <si>
    <t>F950013694808051</t>
  </si>
  <si>
    <t>彭治林</t>
  </si>
  <si>
    <t>彭治林,张太春</t>
  </si>
  <si>
    <t>F950014486214245</t>
  </si>
  <si>
    <t>陈方芝,邱应华,邱龙福</t>
  </si>
  <si>
    <t>F950014712464210</t>
  </si>
  <si>
    <t>任国珍</t>
  </si>
  <si>
    <t>F950014801214213</t>
  </si>
  <si>
    <t>叶春元</t>
  </si>
  <si>
    <t>李淑华,叶春元,叶强</t>
  </si>
  <si>
    <t>F950016781683118</t>
  </si>
  <si>
    <t>彭加珍</t>
  </si>
  <si>
    <t>F950018301995656</t>
  </si>
  <si>
    <t>卿玉芝</t>
  </si>
  <si>
    <t>何成云,卿玉芝,张琼月</t>
  </si>
  <si>
    <t>F950020316839939</t>
  </si>
  <si>
    <t>彭治国</t>
  </si>
  <si>
    <t>彭泽生,彭治国,彭华春</t>
  </si>
  <si>
    <t>F950022324494988</t>
  </si>
  <si>
    <t>朱兴莲</t>
  </si>
  <si>
    <t>朱兴莲,彭泽富</t>
  </si>
  <si>
    <t>F950022402933435</t>
  </si>
  <si>
    <t>叶祥利</t>
  </si>
  <si>
    <t>叶思芸,叶祥利,叶天宇,李秀芝</t>
  </si>
  <si>
    <t>F950022582151724</t>
  </si>
  <si>
    <t>夏群英</t>
  </si>
  <si>
    <t>夏群英,吴洪列,吴林全,钟昌成</t>
  </si>
  <si>
    <t>F950024160745451</t>
  </si>
  <si>
    <t>严成富</t>
  </si>
  <si>
    <t>F950024234495495</t>
  </si>
  <si>
    <t>涂大英</t>
  </si>
  <si>
    <t>F950024302151701</t>
  </si>
  <si>
    <t>包昌均</t>
  </si>
  <si>
    <t>包焱鑫,包昌均,陈容,包洋松</t>
  </si>
  <si>
    <t>F950024502932956</t>
  </si>
  <si>
    <t>夏绍莲</t>
  </si>
  <si>
    <t>聂发全,夏绍莲</t>
  </si>
  <si>
    <t>F950024522308199</t>
  </si>
  <si>
    <t>吴德利</t>
  </si>
  <si>
    <t>F950024963870979</t>
  </si>
  <si>
    <t>万强英</t>
  </si>
  <si>
    <t>F950025921370667</t>
  </si>
  <si>
    <t>王永胜</t>
  </si>
  <si>
    <t>F950026724652112</t>
  </si>
  <si>
    <t>刘真楷</t>
  </si>
  <si>
    <t>刘真楷,周义珍,刘祥云,刘宇</t>
  </si>
  <si>
    <t>F950027886839082</t>
  </si>
  <si>
    <t>王林蓉</t>
  </si>
  <si>
    <t>F950028334026974</t>
  </si>
  <si>
    <t>张启才</t>
  </si>
  <si>
    <t>F950028412933501</t>
  </si>
  <si>
    <t>彭泽建</t>
  </si>
  <si>
    <t>彭志林,万秋英,夏永秀,彭志双,彭泽建</t>
  </si>
  <si>
    <t>F950029180589732</t>
  </si>
  <si>
    <t>吴德强</t>
  </si>
  <si>
    <t>F950029227620906</t>
  </si>
  <si>
    <t>吴德成</t>
  </si>
  <si>
    <t>F950030047776949</t>
  </si>
  <si>
    <t>潘先秀</t>
  </si>
  <si>
    <t>潘先秀,叶祥友,杨岚</t>
  </si>
  <si>
    <t>F950030077776964</t>
  </si>
  <si>
    <t>杨贵金</t>
  </si>
  <si>
    <t>杨贵金,王兴秀</t>
  </si>
  <si>
    <t>F950030349495999</t>
  </si>
  <si>
    <t>韦廷品</t>
  </si>
  <si>
    <t>F950030705589728</t>
  </si>
  <si>
    <t>李树英</t>
  </si>
  <si>
    <t>F950030748870731</t>
  </si>
  <si>
    <t>叶兆清</t>
  </si>
  <si>
    <t>叶兆清,叶敏,叶涛,王加蓉</t>
  </si>
  <si>
    <t>F950032131370228</t>
  </si>
  <si>
    <t>周德</t>
  </si>
  <si>
    <t>涂大莲,周强兵,周德</t>
  </si>
  <si>
    <t>F950032163089620</t>
  </si>
  <si>
    <t>包昌林</t>
  </si>
  <si>
    <t>万世珍,包永才,包昌林</t>
  </si>
  <si>
    <t>F950032951995684</t>
  </si>
  <si>
    <t>严光明</t>
  </si>
  <si>
    <t>伍元秀,严兴顺,严光明</t>
  </si>
  <si>
    <t>F950034223558242</t>
  </si>
  <si>
    <t>彭邦正</t>
  </si>
  <si>
    <t>F950034411058588</t>
  </si>
  <si>
    <t>龚树珍</t>
  </si>
  <si>
    <t>F950034503558166</t>
  </si>
  <si>
    <t>余应芝</t>
  </si>
  <si>
    <t>F950034587308183</t>
  </si>
  <si>
    <t>夏绍珍</t>
  </si>
  <si>
    <t>F950034699339418</t>
  </si>
  <si>
    <t>任长春</t>
  </si>
  <si>
    <t>雷文枝,任尚全,任禄山,任长春,任尚琼</t>
  </si>
  <si>
    <t>F950034887933001</t>
  </si>
  <si>
    <t>杨金华</t>
  </si>
  <si>
    <t>杨雅渲,杨天燕,张兴芝,宋林秀,杨金华</t>
  </si>
  <si>
    <t>F950034968089698</t>
  </si>
  <si>
    <t>彭治树</t>
  </si>
  <si>
    <t>彭治树,杨秀平,彭华妃</t>
  </si>
  <si>
    <t>F950035132151790</t>
  </si>
  <si>
    <t>包淑芬</t>
  </si>
  <si>
    <t>F950035732308331</t>
  </si>
  <si>
    <t>罗明友</t>
  </si>
  <si>
    <t>罗廷江,罗茜,张平秀,罗明友</t>
  </si>
  <si>
    <t>F950035876371052</t>
  </si>
  <si>
    <t>王瑶伦,伍秋乾,伍瑗,伍利平</t>
  </si>
  <si>
    <t>F950036108089625</t>
  </si>
  <si>
    <t>袁俊书</t>
  </si>
  <si>
    <t>袁国清,袁国斌,袁俊书,聂昌秀,袁茹薏</t>
  </si>
  <si>
    <t>F950036120589709</t>
  </si>
  <si>
    <t>胡福太</t>
  </si>
  <si>
    <t>F950036726526941</t>
  </si>
  <si>
    <t>喻万荣</t>
  </si>
  <si>
    <t>喻万荣,白玉秀</t>
  </si>
  <si>
    <t>F950036946841733</t>
  </si>
  <si>
    <t>兰永军</t>
  </si>
  <si>
    <t>兰永军,伍仕莲,兰月</t>
  </si>
  <si>
    <t>F950037054026841</t>
  </si>
  <si>
    <t>张诗雨</t>
  </si>
  <si>
    <t>张诗雨,张涛福,伍明秀,张学蓉</t>
  </si>
  <si>
    <t>F950037195433675</t>
  </si>
  <si>
    <t>张太光</t>
  </si>
  <si>
    <t>F950038131995265</t>
  </si>
  <si>
    <t>聂远金</t>
  </si>
  <si>
    <t>杨尚珍,聂远金</t>
  </si>
  <si>
    <t>F950038287620669</t>
  </si>
  <si>
    <t>严成宽</t>
  </si>
  <si>
    <t>严盟佳,陈科蓉,严茂林,严成宽</t>
  </si>
  <si>
    <t>F950038468245762</t>
  </si>
  <si>
    <t>彭泽弟</t>
  </si>
  <si>
    <t>彭淞,彭治顺,彭华强,车小兰,夏元珍,彭泽弟</t>
  </si>
  <si>
    <t>F950038483557827</t>
  </si>
  <si>
    <t>万才学</t>
  </si>
  <si>
    <t>万才学,温明星,万永祥</t>
  </si>
  <si>
    <t>F950038499339525</t>
  </si>
  <si>
    <t>袁茂华</t>
  </si>
  <si>
    <t>袁富强,袁茂华,袁秋云</t>
  </si>
  <si>
    <t>F950038505589621</t>
  </si>
  <si>
    <t>万才芬</t>
  </si>
  <si>
    <t>F950038539651613</t>
  </si>
  <si>
    <t>伍丽洁</t>
  </si>
  <si>
    <t>伍秦璘,伍丽洁,伍秋鹏,韦廷恩,伍丽娟</t>
  </si>
  <si>
    <t>F950039167621189</t>
  </si>
  <si>
    <t>袁俊友</t>
  </si>
  <si>
    <t>袁结,袁俊友</t>
  </si>
  <si>
    <t>F950040505901965</t>
  </si>
  <si>
    <t>彭邦笋</t>
  </si>
  <si>
    <t>F950040666526871</t>
  </si>
  <si>
    <t>叶有元</t>
  </si>
  <si>
    <t>叶有元,叶兆平,官钰萱,叶春梅,官叶橙,莫金兰</t>
  </si>
  <si>
    <t>F950040895433124</t>
  </si>
  <si>
    <t>蒋留石</t>
  </si>
  <si>
    <t>F950041019495848</t>
  </si>
  <si>
    <t>彭加全</t>
  </si>
  <si>
    <t>彭思瑶,彭俐嘉,彭加全,王正金,莫会琼,彭志均</t>
  </si>
  <si>
    <t>F950041119964606</t>
  </si>
  <si>
    <t>王永军</t>
  </si>
  <si>
    <t>王永军,王慧莲,夏先清</t>
  </si>
  <si>
    <t>F950041873714843</t>
  </si>
  <si>
    <t>包万林</t>
  </si>
  <si>
    <t>F950042147464443</t>
  </si>
  <si>
    <t>李培节</t>
  </si>
  <si>
    <t>F950042301370389</t>
  </si>
  <si>
    <t>杨玉前</t>
  </si>
  <si>
    <t>杨金祥,杨玉前,夏银秀,吕大香</t>
  </si>
  <si>
    <t>F950042528870611</t>
  </si>
  <si>
    <t>万才书</t>
  </si>
  <si>
    <t>F950042927308812</t>
  </si>
  <si>
    <t>彭泽清</t>
  </si>
  <si>
    <t>F950043199964306</t>
  </si>
  <si>
    <t>叶有伦</t>
  </si>
  <si>
    <t>F950043938870999</t>
  </si>
  <si>
    <t>李东元</t>
  </si>
  <si>
    <t>李万鹏,李锦辉,彭邦珍,李世雪,李东元,李永英</t>
  </si>
  <si>
    <t>F950044090277046</t>
  </si>
  <si>
    <t>彭志琪</t>
  </si>
  <si>
    <t>彭艳,彭志琪,温慧玲</t>
  </si>
  <si>
    <t>F950044231370448</t>
  </si>
  <si>
    <t>胡廷高</t>
  </si>
  <si>
    <t>F956102172112618</t>
  </si>
  <si>
    <t>彭湖</t>
  </si>
  <si>
    <t>F075457576630552</t>
  </si>
  <si>
    <t>光明村委会</t>
  </si>
  <si>
    <t>曾朝富</t>
  </si>
  <si>
    <t>曾朝富,曾全弟,曾义喧,曾如锐,彭邦珍</t>
  </si>
  <si>
    <t>F313514102636872</t>
  </si>
  <si>
    <t>祝锦发</t>
  </si>
  <si>
    <t>祝锦发,万淑永,祝秋苹,雷小玲,祝瑕</t>
  </si>
  <si>
    <t>F318083095101228</t>
  </si>
  <si>
    <t>唐开强</t>
  </si>
  <si>
    <t>唐开强,周良秀,唐冬梅</t>
  </si>
  <si>
    <t>F361106076279598</t>
  </si>
  <si>
    <t>罗永贵</t>
  </si>
  <si>
    <t>罗永贵,罗登科,罗福奇</t>
  </si>
  <si>
    <t>F546183605935479</t>
  </si>
  <si>
    <t>温定忠</t>
  </si>
  <si>
    <t>F546186684108964</t>
  </si>
  <si>
    <t>李忠云</t>
  </si>
  <si>
    <t>葛秀香,李忠云</t>
  </si>
  <si>
    <t>F573518436079221</t>
  </si>
  <si>
    <t>吴兴银</t>
  </si>
  <si>
    <t>F573520024218340</t>
  </si>
  <si>
    <t>彭强</t>
  </si>
  <si>
    <t>F573526640716599</t>
  </si>
  <si>
    <t>林志全</t>
  </si>
  <si>
    <t>F841940779888300</t>
  </si>
  <si>
    <t>邱云武</t>
  </si>
  <si>
    <t>邱云武,李大友</t>
  </si>
  <si>
    <t>F894983135237642</t>
  </si>
  <si>
    <t>粟剑英</t>
  </si>
  <si>
    <t>范进群,杨浩轩,粟剑英</t>
  </si>
  <si>
    <t>F895022001369952</t>
  </si>
  <si>
    <t>罗强</t>
  </si>
  <si>
    <t>罗强,钟家蓉,罗浩,罗中庭</t>
  </si>
  <si>
    <t>F946015577438738</t>
  </si>
  <si>
    <t>艾成贵</t>
  </si>
  <si>
    <t>艾成德,艾成贵</t>
  </si>
  <si>
    <t>F949982184495596</t>
  </si>
  <si>
    <t>陈仁贵</t>
  </si>
  <si>
    <t>F949982203401701</t>
  </si>
  <si>
    <t>吕兆兰</t>
  </si>
  <si>
    <t>艾文友,吕兆兰</t>
  </si>
  <si>
    <t>F949982271370704</t>
  </si>
  <si>
    <t>胡太元</t>
  </si>
  <si>
    <t>F949982411839118</t>
  </si>
  <si>
    <t>尹天才</t>
  </si>
  <si>
    <t>F949982460901729</t>
  </si>
  <si>
    <t>范应安</t>
  </si>
  <si>
    <t>F949984247933185</t>
  </si>
  <si>
    <t>廖国金</t>
  </si>
  <si>
    <t>F949984343870666</t>
  </si>
  <si>
    <t>邱昌秀</t>
  </si>
  <si>
    <t>F949986088246064</t>
  </si>
  <si>
    <t>朱树文</t>
  </si>
  <si>
    <t>张兆农,朱树文</t>
  </si>
  <si>
    <t>F949988171839320</t>
  </si>
  <si>
    <t>F949989920277124</t>
  </si>
  <si>
    <t>夏梦佳</t>
  </si>
  <si>
    <t>F949990202151751</t>
  </si>
  <si>
    <t>罗书香</t>
  </si>
  <si>
    <t>罗书香,林建分,林浩宇,林志刚</t>
  </si>
  <si>
    <t>F949990297151779</t>
  </si>
  <si>
    <t>王太芝</t>
  </si>
  <si>
    <t>F950009869183195</t>
  </si>
  <si>
    <t>李仕琼</t>
  </si>
  <si>
    <t>李仕琼,文涵叶,文连东</t>
  </si>
  <si>
    <t>F950011499495599</t>
  </si>
  <si>
    <t>刘克强</t>
  </si>
  <si>
    <t>朱知文,刘克强,刘泽军</t>
  </si>
  <si>
    <t>F950011581214330</t>
  </si>
  <si>
    <t>陶桂珍</t>
  </si>
  <si>
    <t>田华,彭煜媛,陶桂珍,彭加田</t>
  </si>
  <si>
    <t>F950011638401853</t>
  </si>
  <si>
    <t>杨明秀</t>
  </si>
  <si>
    <t>陈文锋,陈洪华,陈科银,杨明秀</t>
  </si>
  <si>
    <t>F950011733714073</t>
  </si>
  <si>
    <t>王祖林</t>
  </si>
  <si>
    <t>王祖林,王秋</t>
  </si>
  <si>
    <t>F950013053245649</t>
  </si>
  <si>
    <t>朱正发</t>
  </si>
  <si>
    <t>F950013758870986</t>
  </si>
  <si>
    <t>莫先进</t>
  </si>
  <si>
    <t>F950013784964465</t>
  </si>
  <si>
    <t>袁英</t>
  </si>
  <si>
    <t>F950014794183158</t>
  </si>
  <si>
    <t>胡淑银</t>
  </si>
  <si>
    <t>尹强,胡淑银,尹勋灏</t>
  </si>
  <si>
    <t>F950014827620314</t>
  </si>
  <si>
    <t>胡小霞</t>
  </si>
  <si>
    <t>马程敏,蔡蓉,胡小霞,范仕情</t>
  </si>
  <si>
    <t>F950014969339612</t>
  </si>
  <si>
    <t>莫金鹏</t>
  </si>
  <si>
    <t>莫云龙,莫金鹏</t>
  </si>
  <si>
    <t>F950015125276562</t>
  </si>
  <si>
    <t>伍群英</t>
  </si>
  <si>
    <t>F950016385433486</t>
  </si>
  <si>
    <t>田恒均</t>
  </si>
  <si>
    <t>田丰才,田恒均</t>
  </si>
  <si>
    <t>F950016444964605</t>
  </si>
  <si>
    <t>胡廷凯</t>
  </si>
  <si>
    <t>F950016779339457</t>
  </si>
  <si>
    <t>艾成英</t>
  </si>
  <si>
    <t>F950016842464243</t>
  </si>
  <si>
    <t>梅丹珍</t>
  </si>
  <si>
    <t>F950018701371023</t>
  </si>
  <si>
    <t>曾全顶</t>
  </si>
  <si>
    <t>曾全顶,夏开秀</t>
  </si>
  <si>
    <t>F950018765120667</t>
  </si>
  <si>
    <t>徐井芝</t>
  </si>
  <si>
    <t>F950022464807747</t>
  </si>
  <si>
    <t>陈仁兴</t>
  </si>
  <si>
    <t>F950022541682782</t>
  </si>
  <si>
    <t>蒙德全</t>
  </si>
  <si>
    <t>F950022654652323</t>
  </si>
  <si>
    <t>吴光友</t>
  </si>
  <si>
    <t>F950024167152402</t>
  </si>
  <si>
    <t>温昌义</t>
  </si>
  <si>
    <t>F950024374183237</t>
  </si>
  <si>
    <t>张登书</t>
  </si>
  <si>
    <t>张登书,曲洪芝</t>
  </si>
  <si>
    <t>F950024551370230</t>
  </si>
  <si>
    <t>王瑶友</t>
  </si>
  <si>
    <t>F950024588714098</t>
  </si>
  <si>
    <t>王国朝</t>
  </si>
  <si>
    <t>F950024857151646</t>
  </si>
  <si>
    <t>彭莲</t>
  </si>
  <si>
    <t>F950025905589408</t>
  </si>
  <si>
    <t>王祖君</t>
  </si>
  <si>
    <t>F950025917933353</t>
  </si>
  <si>
    <t>胡朝明</t>
  </si>
  <si>
    <t>胡朝明,余洪琼,胡廷海</t>
  </si>
  <si>
    <t>F950026167308041</t>
  </si>
  <si>
    <t>廖国强</t>
  </si>
  <si>
    <t>廖永洪,廖国强,罗佑梦</t>
  </si>
  <si>
    <t>F950026424339495</t>
  </si>
  <si>
    <t>刘桂荣</t>
  </si>
  <si>
    <t>廖学奎,刘桂荣</t>
  </si>
  <si>
    <t>F950026595276707</t>
  </si>
  <si>
    <t>梅开秀</t>
  </si>
  <si>
    <t>F950027071682805</t>
  </si>
  <si>
    <t>艾成书</t>
  </si>
  <si>
    <t>艾云胜,艾成书,黄月兰,艾文强</t>
  </si>
  <si>
    <t>F950027154027049</t>
  </si>
  <si>
    <t>胡廷均</t>
  </si>
  <si>
    <t>赵清蓉,胡廷均</t>
  </si>
  <si>
    <t>F950027767152152</t>
  </si>
  <si>
    <t>张贤复</t>
  </si>
  <si>
    <t>张贤复,高朝碧</t>
  </si>
  <si>
    <t>F950028328401553</t>
  </si>
  <si>
    <t>张志英</t>
  </si>
  <si>
    <t>张志英,王琼,李佳兴</t>
  </si>
  <si>
    <t>F950028366995767</t>
  </si>
  <si>
    <t>胡朝光</t>
  </si>
  <si>
    <t>F950028392776852</t>
  </si>
  <si>
    <t>莫先慧</t>
  </si>
  <si>
    <t>F950028977777095</t>
  </si>
  <si>
    <t>苏忠云</t>
  </si>
  <si>
    <t>F950030507777077</t>
  </si>
  <si>
    <t>艾文武</t>
  </si>
  <si>
    <t>艾文武,艾莉,艾佳</t>
  </si>
  <si>
    <t>F950030691057997</t>
  </si>
  <si>
    <t>廖树珍</t>
  </si>
  <si>
    <t>F950030954026671</t>
  </si>
  <si>
    <t>杨平</t>
  </si>
  <si>
    <t>F950031768402052</t>
  </si>
  <si>
    <t>唐甲珍</t>
  </si>
  <si>
    <t>F950032799183056</t>
  </si>
  <si>
    <t>陈科云</t>
  </si>
  <si>
    <t>陈层,陈科云</t>
  </si>
  <si>
    <t>F950033004339219</t>
  </si>
  <si>
    <t>陈科富</t>
  </si>
  <si>
    <t>陈科富,陈红英</t>
  </si>
  <si>
    <t>F950033195120485</t>
  </si>
  <si>
    <t>刘万琼</t>
  </si>
  <si>
    <t>F950034034651635</t>
  </si>
  <si>
    <t>莫先玉</t>
  </si>
  <si>
    <t>F950034145276788</t>
  </si>
  <si>
    <t>祝江前</t>
  </si>
  <si>
    <t>廖国珍,祝江前</t>
  </si>
  <si>
    <t>F950034406058438</t>
  </si>
  <si>
    <t>余贵书</t>
  </si>
  <si>
    <t>窦淑知,余贵书,余成,余双江</t>
  </si>
  <si>
    <t>F950034449339317</t>
  </si>
  <si>
    <t>张明贵</t>
  </si>
  <si>
    <t>张琪,韦廷品,张明贵</t>
  </si>
  <si>
    <t>F950034577933050</t>
  </si>
  <si>
    <t>杨易春</t>
  </si>
  <si>
    <t>F950034595589770</t>
  </si>
  <si>
    <t>狄银秀</t>
  </si>
  <si>
    <t>F950034625120668</t>
  </si>
  <si>
    <t>夏少连</t>
  </si>
  <si>
    <t>F950034696370442</t>
  </si>
  <si>
    <t>王云英</t>
  </si>
  <si>
    <t>F950035204496423</t>
  </si>
  <si>
    <t>何芝兰</t>
  </si>
  <si>
    <t>F950036114495487</t>
  </si>
  <si>
    <t>文连军</t>
  </si>
  <si>
    <t>F950036376370668</t>
  </si>
  <si>
    <t>王成芝</t>
  </si>
  <si>
    <t>F950036516839272</t>
  </si>
  <si>
    <t>刘德英</t>
  </si>
  <si>
    <t>F950036619964126</t>
  </si>
  <si>
    <t>彭开书</t>
  </si>
  <si>
    <t>F950037133558313</t>
  </si>
  <si>
    <t>邱兴文</t>
  </si>
  <si>
    <t>F950037151058087</t>
  </si>
  <si>
    <t>黄孝华</t>
  </si>
  <si>
    <t>F950037917308353</t>
  </si>
  <si>
    <t>罗正芝</t>
  </si>
  <si>
    <t>F950038891995798</t>
  </si>
  <si>
    <t>F950038931526761</t>
  </si>
  <si>
    <t>张登富</t>
  </si>
  <si>
    <t>张登富,刘峰,张静</t>
  </si>
  <si>
    <t>F950039070120754</t>
  </si>
  <si>
    <t>夏先春</t>
  </si>
  <si>
    <t>F950039121370579</t>
  </si>
  <si>
    <t>王启明</t>
  </si>
  <si>
    <t>刘磊,王启明</t>
  </si>
  <si>
    <t>F950039216683314</t>
  </si>
  <si>
    <t>兰永芬</t>
  </si>
  <si>
    <t>F950039980121034</t>
  </si>
  <si>
    <t>卿玉林</t>
  </si>
  <si>
    <t>代仕华,卿玉林,杨林,卿洋</t>
  </si>
  <si>
    <t>F950039983402019</t>
  </si>
  <si>
    <t>尹天华</t>
  </si>
  <si>
    <t>尹天华,尹铭</t>
  </si>
  <si>
    <t>F950039989339571</t>
  </si>
  <si>
    <t>杨沛珍</t>
  </si>
  <si>
    <t>F950040133870564</t>
  </si>
  <si>
    <t>王国和</t>
  </si>
  <si>
    <t>王国和,包昌秀,王志坤</t>
  </si>
  <si>
    <t>F950040202464770</t>
  </si>
  <si>
    <t>邱远秀</t>
  </si>
  <si>
    <t>F950040566057927</t>
  </si>
  <si>
    <t>王秀珍</t>
  </si>
  <si>
    <t>F950040605277241</t>
  </si>
  <si>
    <t>卿科利</t>
  </si>
  <si>
    <t>F950040973714842</t>
  </si>
  <si>
    <t>黄泽珍</t>
  </si>
  <si>
    <t>张仕娥,黄泽珍,刘世君,范明坤,范鑫液,刘琼</t>
  </si>
  <si>
    <t>F950040975745957</t>
  </si>
  <si>
    <t>钟加秀</t>
  </si>
  <si>
    <t>F950040992308402</t>
  </si>
  <si>
    <t>刘仕英</t>
  </si>
  <si>
    <t>F950041087620740</t>
  </si>
  <si>
    <t>罗富贵</t>
  </si>
  <si>
    <t>罗富贵,费泽连,罗友良</t>
  </si>
  <si>
    <t>F950041215589904</t>
  </si>
  <si>
    <t>李伯金</t>
  </si>
  <si>
    <t>F950041923870794</t>
  </si>
  <si>
    <t>周仕凤</t>
  </si>
  <si>
    <t>许小兰,周仕凤</t>
  </si>
  <si>
    <t>F950041935589487</t>
  </si>
  <si>
    <t>雷仕贤</t>
  </si>
  <si>
    <t>F950042924182975</t>
  </si>
  <si>
    <t>万九英</t>
  </si>
  <si>
    <t>F950042933558245</t>
  </si>
  <si>
    <t>朱明秀</t>
  </si>
  <si>
    <t>F950043066526854</t>
  </si>
  <si>
    <t>林坤云</t>
  </si>
  <si>
    <t>F950044294339136</t>
  </si>
  <si>
    <t>蔡德秀</t>
  </si>
  <si>
    <t>蔡德秀,彭泽忠</t>
  </si>
  <si>
    <t>F950044375902108</t>
  </si>
  <si>
    <t>王祖兴</t>
  </si>
  <si>
    <t>王瑶,王祖兴,王福江,彭治娥</t>
  </si>
  <si>
    <t>F950044476995549</t>
  </si>
  <si>
    <t>莫金奎</t>
  </si>
  <si>
    <t>F950044705901999</t>
  </si>
  <si>
    <t>王鑫</t>
  </si>
  <si>
    <t>王惠蓉,王鑫</t>
  </si>
  <si>
    <t>F952436211693805</t>
  </si>
  <si>
    <t>王国文</t>
  </si>
  <si>
    <t>杨显友,王麒恺,王国文,王松,王麒宇,王学珍</t>
  </si>
  <si>
    <t>F956114177097898</t>
  </si>
  <si>
    <t>胡芮菡</t>
  </si>
  <si>
    <t>F000265600432812</t>
  </si>
  <si>
    <t>龙河村委会</t>
  </si>
  <si>
    <t>万冻英</t>
  </si>
  <si>
    <t>万松林,万珍利,万洪材,万冻英,王加燕</t>
  </si>
  <si>
    <t>F002720065509391</t>
  </si>
  <si>
    <t>兰昌秀</t>
  </si>
  <si>
    <t>F006796913089788</t>
  </si>
  <si>
    <t>周其贵</t>
  </si>
  <si>
    <t>周其贵,鄢盛会</t>
  </si>
  <si>
    <t>F069909629597781</t>
  </si>
  <si>
    <t>莫惠明</t>
  </si>
  <si>
    <t>莫惠明,赵明英,莫云琼,陈小苗,陈晓凤</t>
  </si>
  <si>
    <t>F069950637781990</t>
  </si>
  <si>
    <t>吕富军</t>
  </si>
  <si>
    <t>王玉香,吕林强,吕家利,吕富军</t>
  </si>
  <si>
    <t>F214359412904028</t>
  </si>
  <si>
    <t>杨仁强</t>
  </si>
  <si>
    <t>兰廷术,杨萍聚,杨露,杨仁强</t>
  </si>
  <si>
    <t>F214368387590900</t>
  </si>
  <si>
    <t>吕国文</t>
  </si>
  <si>
    <t>F214371479778501</t>
  </si>
  <si>
    <t>陈科六</t>
  </si>
  <si>
    <t>F327165318781303</t>
  </si>
  <si>
    <t>刘竹才</t>
  </si>
  <si>
    <t>刘竹才,刘秋,刘秋岑,徐井兰</t>
  </si>
  <si>
    <t>F367607229784082</t>
  </si>
  <si>
    <t>周其林</t>
  </si>
  <si>
    <t>周涵池,周利,周其林</t>
  </si>
  <si>
    <t>F367815327752846</t>
  </si>
  <si>
    <t>杨仁珍</t>
  </si>
  <si>
    <t>F423276551810287</t>
  </si>
  <si>
    <t>朱伦全</t>
  </si>
  <si>
    <t>朱强,朱伦全,朱莹乐,朱思棋,刘明珍</t>
  </si>
  <si>
    <t>F546192201755637</t>
  </si>
  <si>
    <t>万莲英</t>
  </si>
  <si>
    <t>F546194213083758</t>
  </si>
  <si>
    <t>卢学波</t>
  </si>
  <si>
    <t>F573528201810338</t>
  </si>
  <si>
    <t>包永发</t>
  </si>
  <si>
    <t>李大君,魏佳丽,包永发</t>
  </si>
  <si>
    <t>F762126600656572</t>
  </si>
  <si>
    <t>万朝英</t>
  </si>
  <si>
    <t>F784475014531807</t>
  </si>
  <si>
    <t>刘学芬</t>
  </si>
  <si>
    <t>刘学芬,张惠满,张佳伟</t>
  </si>
  <si>
    <t>F946004177558775</t>
  </si>
  <si>
    <t>谌锡贵</t>
  </si>
  <si>
    <t>赵清兰,谌锡贵</t>
  </si>
  <si>
    <t>F946006923332257</t>
  </si>
  <si>
    <t>鄢胜万</t>
  </si>
  <si>
    <t>F949982355433240</t>
  </si>
  <si>
    <t>叶家贵</t>
  </si>
  <si>
    <t>杨六春,叶家贵</t>
  </si>
  <si>
    <t>F949984081370859</t>
  </si>
  <si>
    <t>罗芝莲</t>
  </si>
  <si>
    <t>F949990231370241</t>
  </si>
  <si>
    <t>石通芝</t>
  </si>
  <si>
    <t>F950009716058524</t>
  </si>
  <si>
    <t>田丰平</t>
  </si>
  <si>
    <t>F950009736058388</t>
  </si>
  <si>
    <t>苟云根</t>
  </si>
  <si>
    <t>苟月林,苟月伟,王秀华,苟云根</t>
  </si>
  <si>
    <t>F950011771370395</t>
  </si>
  <si>
    <t>赵清国</t>
  </si>
  <si>
    <t>万蓉,赵朝波,赵清国</t>
  </si>
  <si>
    <t>F950012846214428</t>
  </si>
  <si>
    <t>陈登旺</t>
  </si>
  <si>
    <t>陈登旺,陈科琴,吴欣,魏国秀</t>
  </si>
  <si>
    <t>F950012965276962</t>
  </si>
  <si>
    <t>沈桂秀</t>
  </si>
  <si>
    <t>F950015008401667</t>
  </si>
  <si>
    <t>赵大春</t>
  </si>
  <si>
    <t>赵大春,赵清根</t>
  </si>
  <si>
    <t>F950015186058320</t>
  </si>
  <si>
    <t>莫惠银</t>
  </si>
  <si>
    <t>F950015747464630</t>
  </si>
  <si>
    <t>陈开珍</t>
  </si>
  <si>
    <t>李语涵,彭燕,陈开珍,李建</t>
  </si>
  <si>
    <t>F950015770745810</t>
  </si>
  <si>
    <t>陈元德</t>
  </si>
  <si>
    <t>陈元德,陈小军,彭章秀</t>
  </si>
  <si>
    <t>F950018720276968</t>
  </si>
  <si>
    <t>苟云乐</t>
  </si>
  <si>
    <t>F950020616526685</t>
  </si>
  <si>
    <t>包云连</t>
  </si>
  <si>
    <t>F950024262308764</t>
  </si>
  <si>
    <t>苟月英</t>
  </si>
  <si>
    <t>F950025079808019</t>
  </si>
  <si>
    <t>万刚英</t>
  </si>
  <si>
    <t>F950026310433225</t>
  </si>
  <si>
    <t>王瑶书</t>
  </si>
  <si>
    <t>F950026415589351</t>
  </si>
  <si>
    <t>万才发</t>
  </si>
  <si>
    <t>F950026716526697</t>
  </si>
  <si>
    <t>赵明蓉</t>
  </si>
  <si>
    <t>赵明蓉,彭华镜,彭治洲</t>
  </si>
  <si>
    <t>F950027061839287</t>
  </si>
  <si>
    <t>李成强</t>
  </si>
  <si>
    <t>李松,李成强,费泽容</t>
  </si>
  <si>
    <t>F950028273089391</t>
  </si>
  <si>
    <t>李大银</t>
  </si>
  <si>
    <t>F950028702933075</t>
  </si>
  <si>
    <t>王寿金</t>
  </si>
  <si>
    <t>F950028839339637</t>
  </si>
  <si>
    <t>胡太成</t>
  </si>
  <si>
    <t>F950028872152161</t>
  </si>
  <si>
    <t>朱宏德</t>
  </si>
  <si>
    <t>F950030054339390</t>
  </si>
  <si>
    <t>朱兴云</t>
  </si>
  <si>
    <t>F950030135277182</t>
  </si>
  <si>
    <t>王如平</t>
  </si>
  <si>
    <t>F950030367777271</t>
  </si>
  <si>
    <t>苟云才</t>
  </si>
  <si>
    <t>苟月文,万才春,苟云才</t>
  </si>
  <si>
    <t>F950030635432816</t>
  </si>
  <si>
    <t>赵清贵</t>
  </si>
  <si>
    <t>F950032051995949</t>
  </si>
  <si>
    <t>张荣友</t>
  </si>
  <si>
    <t>张华鹃,彭加蓉,张荣友,张华千</t>
  </si>
  <si>
    <t>F950032357152108</t>
  </si>
  <si>
    <t>张福银</t>
  </si>
  <si>
    <t>F950032632933225</t>
  </si>
  <si>
    <t>赵大金</t>
  </si>
  <si>
    <t>F950032860745705</t>
  </si>
  <si>
    <t>万才富</t>
  </si>
  <si>
    <t>万才富,陈科秀</t>
  </si>
  <si>
    <t>F950034524495479</t>
  </si>
  <si>
    <t>孟树华</t>
  </si>
  <si>
    <t>孟树华,莫惠才,莫松银</t>
  </si>
  <si>
    <t>F950034601370643</t>
  </si>
  <si>
    <t>杨六贵</t>
  </si>
  <si>
    <t>杨六贵,温昌琼,杨冬生</t>
  </si>
  <si>
    <t>F950034622464055</t>
  </si>
  <si>
    <t>王寿安</t>
  </si>
  <si>
    <t>F950034745276709</t>
  </si>
  <si>
    <t>F950034840433104</t>
  </si>
  <si>
    <t>王兴军,万启珍</t>
  </si>
  <si>
    <t>F950034996995600</t>
  </si>
  <si>
    <t>刘文友</t>
  </si>
  <si>
    <t>F950035014495507</t>
  </si>
  <si>
    <t>陈科强</t>
  </si>
  <si>
    <t>陈科强,陈登文,万才凤</t>
  </si>
  <si>
    <t>F950035023870668</t>
  </si>
  <si>
    <t>张栏</t>
  </si>
  <si>
    <t>F950036739495706</t>
  </si>
  <si>
    <t>王勇,王彦霖,何太琼,王鑫</t>
  </si>
  <si>
    <t>F950036754964250</t>
  </si>
  <si>
    <t>胡宋友</t>
  </si>
  <si>
    <t>F950037177151982</t>
  </si>
  <si>
    <t>吴万富</t>
  </si>
  <si>
    <t>F950037954964052</t>
  </si>
  <si>
    <t>胡庭忠</t>
  </si>
  <si>
    <t>胡庭忠,喻光芬</t>
  </si>
  <si>
    <t>F950038006370687</t>
  </si>
  <si>
    <t>万雄英</t>
  </si>
  <si>
    <t>万雄英,杨群英,万强</t>
  </si>
  <si>
    <t>F950038524339634</t>
  </si>
  <si>
    <t>张福明</t>
  </si>
  <si>
    <t>F950040735277000</t>
  </si>
  <si>
    <t>张仕友</t>
  </si>
  <si>
    <t>胡秀芝,张福蒙,张仕友,喻光莲,张政</t>
  </si>
  <si>
    <t>F950040746058617</t>
  </si>
  <si>
    <t>刘正强</t>
  </si>
  <si>
    <t>F950041011058444</t>
  </si>
  <si>
    <t>李大伦</t>
  </si>
  <si>
    <t>F950043017777070</t>
  </si>
  <si>
    <t>万启有</t>
  </si>
  <si>
    <t>万平英,万启有,何秀英</t>
  </si>
  <si>
    <t>F950043169808341</t>
  </si>
  <si>
    <t>田丰华</t>
  </si>
  <si>
    <t>田丰华,赵大莲</t>
  </si>
  <si>
    <t>F950044151683269</t>
  </si>
  <si>
    <t>陈立平</t>
  </si>
  <si>
    <t>F956035127055245</t>
  </si>
  <si>
    <t>莫惠贵</t>
  </si>
  <si>
    <t>莫惠贵,莫晓琴</t>
  </si>
  <si>
    <t>F002749179213469</t>
  </si>
  <si>
    <t>边河村委会</t>
  </si>
  <si>
    <t>李旭东</t>
  </si>
  <si>
    <t>范进恩,李川,胡秀琼,李旭东</t>
  </si>
  <si>
    <t>F002765652678119</t>
  </si>
  <si>
    <t>唐建华</t>
  </si>
  <si>
    <t>唐建华,唐佳,李仕霞,唐方旭</t>
  </si>
  <si>
    <t>F055703360974733</t>
  </si>
  <si>
    <t>范进秀</t>
  </si>
  <si>
    <t>F055708039266287</t>
  </si>
  <si>
    <t>李治濠</t>
  </si>
  <si>
    <t>F069915560418227</t>
  </si>
  <si>
    <t>李仕学</t>
  </si>
  <si>
    <t>李仕学,李多伦,李源豪</t>
  </si>
  <si>
    <t>F130088870769715</t>
  </si>
  <si>
    <t>何吉</t>
  </si>
  <si>
    <t>F237726833666771</t>
  </si>
  <si>
    <t>田朝艳</t>
  </si>
  <si>
    <t>袁晓霞,田朝艳,袁伟</t>
  </si>
  <si>
    <t>F237741456479255</t>
  </si>
  <si>
    <t>范秀华</t>
  </si>
  <si>
    <t>范秀华,王茂遥</t>
  </si>
  <si>
    <t>F442457342903921</t>
  </si>
  <si>
    <t>周奕豪</t>
  </si>
  <si>
    <t>F498419759704915</t>
  </si>
  <si>
    <t>汪忠蓉</t>
  </si>
  <si>
    <t>范凌波,汪兴有,范中军,汪忠蓉,杨成英</t>
  </si>
  <si>
    <t>F498615542575981</t>
  </si>
  <si>
    <t>温太春</t>
  </si>
  <si>
    <t>温太春,李函师,李其,李国铭</t>
  </si>
  <si>
    <t>F526909690047990</t>
  </si>
  <si>
    <t>张贤书</t>
  </si>
  <si>
    <t>杨桂华,张子松,张晗钰,李雪,张贤书</t>
  </si>
  <si>
    <t>F526912902467951</t>
  </si>
  <si>
    <t>李仕强</t>
  </si>
  <si>
    <t>李仕强,祝锦琼,李书帆</t>
  </si>
  <si>
    <t>F546196257751720</t>
  </si>
  <si>
    <t>尹天富</t>
  </si>
  <si>
    <t>尹慧玲,尹权鸿,尹天富</t>
  </si>
  <si>
    <t>F546199317175656</t>
  </si>
  <si>
    <t>杨晓容</t>
  </si>
  <si>
    <t>F631746242460084</t>
  </si>
  <si>
    <t>孙云国</t>
  </si>
  <si>
    <t>张淑华,孙云国,孙富敏,孙小慧,孙情丹</t>
  </si>
  <si>
    <t>F640068149162872</t>
  </si>
  <si>
    <t>范仕洪</t>
  </si>
  <si>
    <t>范瑜杰,范仕洪,王复容,范艳丽</t>
  </si>
  <si>
    <t>F660199651564060</t>
  </si>
  <si>
    <t>邱云方</t>
  </si>
  <si>
    <t>邱昌银,邱云方</t>
  </si>
  <si>
    <t>F684743108181933</t>
  </si>
  <si>
    <t>魏桃根</t>
  </si>
  <si>
    <t>F784448852813008</t>
  </si>
  <si>
    <t>温代文</t>
  </si>
  <si>
    <t>田朝林,温丽娜,禹温宸,温代文</t>
  </si>
  <si>
    <t>F934077573213367</t>
  </si>
  <si>
    <t>魏桃源</t>
  </si>
  <si>
    <t>魏未知,魏桃源,魏超,魏唐波</t>
  </si>
  <si>
    <t>F946010347757812</t>
  </si>
  <si>
    <t>王仕贵</t>
  </si>
  <si>
    <t>王仕贵,王瑞雪,李小芳</t>
  </si>
  <si>
    <t>F946013699234855</t>
  </si>
  <si>
    <t>廖学芬</t>
  </si>
  <si>
    <t>F949982015276859</t>
  </si>
  <si>
    <t>张会容</t>
  </si>
  <si>
    <t>何婷,何琴,张会容</t>
  </si>
  <si>
    <t>F949982157620940</t>
  </si>
  <si>
    <t>孙荣清</t>
  </si>
  <si>
    <t>F949982250745760</t>
  </si>
  <si>
    <t>林良清</t>
  </si>
  <si>
    <t>李成书,林良清</t>
  </si>
  <si>
    <t>F949982395745643</t>
  </si>
  <si>
    <t>彭治友</t>
  </si>
  <si>
    <t>F949984346214610</t>
  </si>
  <si>
    <t>何国建</t>
  </si>
  <si>
    <t>赵桂琼,何国建</t>
  </si>
  <si>
    <t>F949984421840205</t>
  </si>
  <si>
    <t>敖秀华</t>
  </si>
  <si>
    <t>F949984437464663</t>
  </si>
  <si>
    <t>王如华</t>
  </si>
  <si>
    <t>王学会,王如华,包万春,王梦霖,王璐瑶</t>
  </si>
  <si>
    <t>F949988381683526</t>
  </si>
  <si>
    <t>杨成孝</t>
  </si>
  <si>
    <t>F950009871527304</t>
  </si>
  <si>
    <t>叶桂伦</t>
  </si>
  <si>
    <t>夏炳莲,叶明松,叶桂伦</t>
  </si>
  <si>
    <t>F950011542933531</t>
  </si>
  <si>
    <t>杨成芝</t>
  </si>
  <si>
    <t>范进兵,杨成芝</t>
  </si>
  <si>
    <t>F950011693870798</t>
  </si>
  <si>
    <t>赵贵平</t>
  </si>
  <si>
    <t>F950011752776694</t>
  </si>
  <si>
    <t>包万才</t>
  </si>
  <si>
    <t>包万才,包永强,范宗琼,赖玉秀</t>
  </si>
  <si>
    <t>F950013098245704</t>
  </si>
  <si>
    <t>陈银全</t>
  </si>
  <si>
    <t>陈银全,王玉秀,陈榆林</t>
  </si>
  <si>
    <t>F950013434651683</t>
  </si>
  <si>
    <t>李桂蓉</t>
  </si>
  <si>
    <t>F950014654026843</t>
  </si>
  <si>
    <t>周安礼</t>
  </si>
  <si>
    <t>勒子约洗,李成兴,周安礼,李晓康,魏国珍</t>
  </si>
  <si>
    <t>F950014701526729</t>
  </si>
  <si>
    <t>黎光明</t>
  </si>
  <si>
    <t>F950015035745294</t>
  </si>
  <si>
    <t>王勇强</t>
  </si>
  <si>
    <t>王勇强,王群芳</t>
  </si>
  <si>
    <t>F950015038870763</t>
  </si>
  <si>
    <t>赵先如</t>
  </si>
  <si>
    <t>彭传书,赵先如,周明富,赵雨萌,侯光枝,赵晨智</t>
  </si>
  <si>
    <t>F950015176683384</t>
  </si>
  <si>
    <t>胡廷海</t>
  </si>
  <si>
    <t>田恒珍,胡廷海</t>
  </si>
  <si>
    <t>F950015247151581</t>
  </si>
  <si>
    <t>鄢贵</t>
  </si>
  <si>
    <t>F950015322933364</t>
  </si>
  <si>
    <t>潘福名</t>
  </si>
  <si>
    <t>潘福名,王太珍,潘绍银,潘霞</t>
  </si>
  <si>
    <t>F950015578558316</t>
  </si>
  <si>
    <t>田富才</t>
  </si>
  <si>
    <t>李成君,田富才</t>
  </si>
  <si>
    <t>F950015631839520</t>
  </si>
  <si>
    <t>李多荣</t>
  </si>
  <si>
    <t>冼其英,李秋敏,李多荣,李健霞</t>
  </si>
  <si>
    <t>F950015783714604</t>
  </si>
  <si>
    <t>段文江</t>
  </si>
  <si>
    <t>鄢代芝,段文江</t>
  </si>
  <si>
    <t>F950016503870189</t>
  </si>
  <si>
    <t>李桂容</t>
  </si>
  <si>
    <t>F950016520901535</t>
  </si>
  <si>
    <t>许邦银</t>
  </si>
  <si>
    <t>F950016627151994</t>
  </si>
  <si>
    <t>李瑞香</t>
  </si>
  <si>
    <t>周富兰,李春花,李瑞香</t>
  </si>
  <si>
    <t>F950016651058073</t>
  </si>
  <si>
    <t>王霞</t>
  </si>
  <si>
    <t>王霞,张成</t>
  </si>
  <si>
    <t>F950016701214442</t>
  </si>
  <si>
    <t>范友华</t>
  </si>
  <si>
    <t>范友华,赵清琼,范益铭,范莉青</t>
  </si>
  <si>
    <t>F950016844964369</t>
  </si>
  <si>
    <t>任禄相</t>
  </si>
  <si>
    <t>F950020430745907</t>
  </si>
  <si>
    <t>何国宽</t>
  </si>
  <si>
    <t>F950020442933081</t>
  </si>
  <si>
    <t>何国兰</t>
  </si>
  <si>
    <t>F950020456057933</t>
  </si>
  <si>
    <t>许邦伍</t>
  </si>
  <si>
    <t>许邦伍,许在明</t>
  </si>
  <si>
    <t>F950022671058065</t>
  </si>
  <si>
    <t>李成斌</t>
  </si>
  <si>
    <t>F950022692308049</t>
  </si>
  <si>
    <t>何太明</t>
  </si>
  <si>
    <t>何太明,王菊英</t>
  </si>
  <si>
    <t>F950022707308051</t>
  </si>
  <si>
    <t>汪元通</t>
  </si>
  <si>
    <t>F950025029027109</t>
  </si>
  <si>
    <t>汪兴强</t>
  </si>
  <si>
    <t>朱群,汪件英,汪小燕,范宗莲,汪兴强</t>
  </si>
  <si>
    <t>F950025289495812</t>
  </si>
  <si>
    <t>刘建银</t>
  </si>
  <si>
    <t>李成秀,刘建银</t>
  </si>
  <si>
    <t>F950025879651990</t>
  </si>
  <si>
    <t>汪友全</t>
  </si>
  <si>
    <t>汪友全,田林科,汪宝烨</t>
  </si>
  <si>
    <t>F950026198245949</t>
  </si>
  <si>
    <t>李桂才</t>
  </si>
  <si>
    <t>F950026269495578</t>
  </si>
  <si>
    <t>范进荣</t>
  </si>
  <si>
    <t>范雨柠,范琳宁,范进荣,何太连,范友强</t>
  </si>
  <si>
    <t>F950026418401774</t>
  </si>
  <si>
    <t>邱贵枝</t>
  </si>
  <si>
    <t>F950026523714411</t>
  </si>
  <si>
    <t>F950026598245663</t>
  </si>
  <si>
    <t>张兆珍</t>
  </si>
  <si>
    <t>F950026750901973</t>
  </si>
  <si>
    <t>王祖珍</t>
  </si>
  <si>
    <t>F950027863401937</t>
  </si>
  <si>
    <t>罗正超</t>
  </si>
  <si>
    <t>F950027916995989</t>
  </si>
  <si>
    <t>唐建芳</t>
  </si>
  <si>
    <t>F950028152620637</t>
  </si>
  <si>
    <t>田兴顺</t>
  </si>
  <si>
    <t>F950028260277070</t>
  </si>
  <si>
    <t>禹金元</t>
  </si>
  <si>
    <t>F950028451996114</t>
  </si>
  <si>
    <t>张金蓉</t>
  </si>
  <si>
    <t>F950028600276816</t>
  </si>
  <si>
    <t>赵进兰</t>
  </si>
  <si>
    <t>赵进兰,何国均,何清,何沐霖</t>
  </si>
  <si>
    <t>F950028844026669</t>
  </si>
  <si>
    <t>李群英</t>
  </si>
  <si>
    <t>F950028923246214</t>
  </si>
  <si>
    <t>李进枝</t>
  </si>
  <si>
    <t>范仕彬,李进枝</t>
  </si>
  <si>
    <t>F950029118870606</t>
  </si>
  <si>
    <t>李桂登</t>
  </si>
  <si>
    <t>李桂登,李多龙</t>
  </si>
  <si>
    <t>F950029782151609</t>
  </si>
  <si>
    <t>李淑君</t>
  </si>
  <si>
    <t>李淑君,范进颜</t>
  </si>
  <si>
    <t>F950030068714407</t>
  </si>
  <si>
    <t>张云红</t>
  </si>
  <si>
    <t>张全远,张云红</t>
  </si>
  <si>
    <t>F950030521682940</t>
  </si>
  <si>
    <t>赵桂才</t>
  </si>
  <si>
    <t>F950030548245324</t>
  </si>
  <si>
    <t>霍玖珍</t>
  </si>
  <si>
    <t>F950030624183110</t>
  </si>
  <si>
    <t>李仕均</t>
  </si>
  <si>
    <t>F950030721839261</t>
  </si>
  <si>
    <t>甘本付</t>
  </si>
  <si>
    <t>甘永芬,甘本付</t>
  </si>
  <si>
    <t>F950030734339703</t>
  </si>
  <si>
    <t>周明文</t>
  </si>
  <si>
    <t>周明文,李冬梅,李雨轩,李洲,李仕孝</t>
  </si>
  <si>
    <t>F950031113870345</t>
  </si>
  <si>
    <t>黎复珍</t>
  </si>
  <si>
    <t>F950031127933346</t>
  </si>
  <si>
    <t>汪元全</t>
  </si>
  <si>
    <t>汪元全,张治清,汪福顺,汪兴正,汪彪,汪田燕</t>
  </si>
  <si>
    <t>F950031186682869</t>
  </si>
  <si>
    <t>梁树全</t>
  </si>
  <si>
    <t>梁树全,聂发勤,梁翠茹</t>
  </si>
  <si>
    <t>F950031196683071</t>
  </si>
  <si>
    <t>李贵平</t>
  </si>
  <si>
    <t>李贵平,王瑶莲</t>
  </si>
  <si>
    <t>F950031715745702</t>
  </si>
  <si>
    <t>邱云富,王华英,邱昌容</t>
  </si>
  <si>
    <t>F950031833870499</t>
  </si>
  <si>
    <t>王复全</t>
  </si>
  <si>
    <t>F950031990120555</t>
  </si>
  <si>
    <t>何太云</t>
  </si>
  <si>
    <t>F950032320589590</t>
  </si>
  <si>
    <t>F950032412151761</t>
  </si>
  <si>
    <t>范进元</t>
  </si>
  <si>
    <t>F950032523402173</t>
  </si>
  <si>
    <t>刘顺芝</t>
  </si>
  <si>
    <t>F950032529651884</t>
  </si>
  <si>
    <t>夏天佐</t>
  </si>
  <si>
    <t>夏天佐,孙贵珍</t>
  </si>
  <si>
    <t>F950032644026589</t>
  </si>
  <si>
    <t>彭泽珍</t>
  </si>
  <si>
    <t>彭泽珍,田林强</t>
  </si>
  <si>
    <t>F950032763714561</t>
  </si>
  <si>
    <t>包金银</t>
  </si>
  <si>
    <t>包金银,夏先琼</t>
  </si>
  <si>
    <t>F950032851682887</t>
  </si>
  <si>
    <t>李桂乾</t>
  </si>
  <si>
    <t>王远文,李桂乾</t>
  </si>
  <si>
    <t>F950032872933227</t>
  </si>
  <si>
    <t>田君</t>
  </si>
  <si>
    <t>F950033906839238</t>
  </si>
  <si>
    <t>张光秀</t>
  </si>
  <si>
    <t>F950034284339494</t>
  </si>
  <si>
    <t>李成珍</t>
  </si>
  <si>
    <t>F950034527464652</t>
  </si>
  <si>
    <t>王桂英</t>
  </si>
  <si>
    <t>F950034866683495</t>
  </si>
  <si>
    <t>李鸿</t>
  </si>
  <si>
    <t>李鸿,李玖鲜,包万连,范友珍</t>
  </si>
  <si>
    <t>F950034980589481</t>
  </si>
  <si>
    <t>汪兴连</t>
  </si>
  <si>
    <t>李进全,李虹音,汪兴连,李成富</t>
  </si>
  <si>
    <t>F950036513870946</t>
  </si>
  <si>
    <t>范进乾</t>
  </si>
  <si>
    <t>张昊然,张耀文,范晓琴,范进乾</t>
  </si>
  <si>
    <t>F950037991527419</t>
  </si>
  <si>
    <t>何国桃</t>
  </si>
  <si>
    <t>李多强,何国桃</t>
  </si>
  <si>
    <t>F950038120120563</t>
  </si>
  <si>
    <t>林良秀</t>
  </si>
  <si>
    <t>F950038324651834</t>
  </si>
  <si>
    <t>李加兵</t>
  </si>
  <si>
    <t>F950038518714269</t>
  </si>
  <si>
    <t>周方连</t>
  </si>
  <si>
    <t>周方连,尹学伦</t>
  </si>
  <si>
    <t>F950038521214383</t>
  </si>
  <si>
    <t>田丰才</t>
  </si>
  <si>
    <t>田丰才,田宽,田大方</t>
  </si>
  <si>
    <t>F950038765121003</t>
  </si>
  <si>
    <t>何永章</t>
  </si>
  <si>
    <t>范容,何永章,时翠枝,何超,何平,夏先凤</t>
  </si>
  <si>
    <t>F950038869651980</t>
  </si>
  <si>
    <t>苟云秀</t>
  </si>
  <si>
    <t>F950039114808116</t>
  </si>
  <si>
    <t>伍秋兵</t>
  </si>
  <si>
    <t>伍济航,谢海珍,黄光琼,伍秋兵,伍济国</t>
  </si>
  <si>
    <t>F950039805902060</t>
  </si>
  <si>
    <t>李科天</t>
  </si>
  <si>
    <t>李科天,张福香</t>
  </si>
  <si>
    <t>F950039869339843</t>
  </si>
  <si>
    <t>李多学</t>
  </si>
  <si>
    <t>F950041218714640</t>
  </si>
  <si>
    <t>刘国有</t>
  </si>
  <si>
    <t>肖燕,许贵知,刘镇源,刘珈含,刘国有</t>
  </si>
  <si>
    <t>F950042205589492</t>
  </si>
  <si>
    <t>鄢功云</t>
  </si>
  <si>
    <t>F950042227933055</t>
  </si>
  <si>
    <t>孙仲伦</t>
  </si>
  <si>
    <t>F950042360120863</t>
  </si>
  <si>
    <t>罗书勇</t>
  </si>
  <si>
    <t>罗正蓉,李佳檜,夏晓蝶,罗书勇,范进英,夏生全</t>
  </si>
  <si>
    <t>F950042784339104</t>
  </si>
  <si>
    <t>肖显文</t>
  </si>
  <si>
    <t>肖显文,肖清荣</t>
  </si>
  <si>
    <t>F950042991526803</t>
  </si>
  <si>
    <t>廖永秀</t>
  </si>
  <si>
    <t>F950043108402006</t>
  </si>
  <si>
    <t>李加玉,杨伦英,李仕强</t>
  </si>
  <si>
    <t>F950043218558083</t>
  </si>
  <si>
    <t>范进华,范小红,范友权</t>
  </si>
  <si>
    <t>F950044073558203</t>
  </si>
  <si>
    <t>黄再秀</t>
  </si>
  <si>
    <t>F950044132933183</t>
  </si>
  <si>
    <t>王复贵</t>
  </si>
  <si>
    <t>王复贵,李成芝,付良春</t>
  </si>
  <si>
    <t>F950044249495489</t>
  </si>
  <si>
    <t>王太珍</t>
  </si>
  <si>
    <t>F950044398558377</t>
  </si>
  <si>
    <t>范中连</t>
  </si>
  <si>
    <t>F950044471214727</t>
  </si>
  <si>
    <t>田雪铭</t>
  </si>
  <si>
    <t>F950044501058124</t>
  </si>
  <si>
    <t>夏复贵</t>
  </si>
  <si>
    <t>夏复贵,夏梓轩,何俊英</t>
  </si>
  <si>
    <t>F953418086877947</t>
  </si>
  <si>
    <t>徐映友</t>
  </si>
  <si>
    <t>F001776823369179</t>
  </si>
  <si>
    <t>茨竹乡</t>
  </si>
  <si>
    <t>五四村委会</t>
  </si>
  <si>
    <t>程方桂</t>
  </si>
  <si>
    <t>程方桂,何国珍</t>
  </si>
  <si>
    <t>F001779070852935</t>
  </si>
  <si>
    <t>黄孝安</t>
  </si>
  <si>
    <t>黄明贵,陈玉枝,黄孝安</t>
  </si>
  <si>
    <t>F256512728816833</t>
  </si>
  <si>
    <t>王安金</t>
  </si>
  <si>
    <t>龚秀春,王安金</t>
  </si>
  <si>
    <t>F472778880657341</t>
  </si>
  <si>
    <t>朱秀才</t>
  </si>
  <si>
    <t>F526248595759587</t>
  </si>
  <si>
    <t>王帮兴</t>
  </si>
  <si>
    <t>王帮兴,王芋麟</t>
  </si>
  <si>
    <t>F752704571340355</t>
  </si>
  <si>
    <t>黄茂珍</t>
  </si>
  <si>
    <t>F799321520387989</t>
  </si>
  <si>
    <t>刘光林</t>
  </si>
  <si>
    <t>刘光林,王淑兰,刘昌龙</t>
  </si>
  <si>
    <t>F949982262151837</t>
  </si>
  <si>
    <t>周光荣</t>
  </si>
  <si>
    <t>莫光玉,周光荣</t>
  </si>
  <si>
    <t>F949984204651761</t>
  </si>
  <si>
    <t>杨兴凤</t>
  </si>
  <si>
    <t>F949988169183275</t>
  </si>
  <si>
    <t>任光奎</t>
  </si>
  <si>
    <t>F950011332620654</t>
  </si>
  <si>
    <t>熊玉芝</t>
  </si>
  <si>
    <t>周德金,熊玉芝</t>
  </si>
  <si>
    <t>F950011569964492</t>
  </si>
  <si>
    <t>吴刚俊</t>
  </si>
  <si>
    <t>吴刚俊,吴涛,付小二,吴启嘉,吴诗雅,吴诗雨</t>
  </si>
  <si>
    <t>F950015011526735</t>
  </si>
  <si>
    <t>凌开春</t>
  </si>
  <si>
    <t>F950025284183241</t>
  </si>
  <si>
    <t>钟富文</t>
  </si>
  <si>
    <t>F950025882620576</t>
  </si>
  <si>
    <t>杨金全</t>
  </si>
  <si>
    <t>F950032506214410</t>
  </si>
  <si>
    <t>吴淑芬</t>
  </si>
  <si>
    <t>F950037045589799</t>
  </si>
  <si>
    <t>杨凤英</t>
  </si>
  <si>
    <t>F950037775276715</t>
  </si>
  <si>
    <t>杨发红</t>
  </si>
  <si>
    <t>F950037909808375</t>
  </si>
  <si>
    <t>祝显永</t>
  </si>
  <si>
    <t>王帮珍,祝显永,祝嘉英,吴兴芝</t>
  </si>
  <si>
    <t>F950039054027042</t>
  </si>
  <si>
    <t>吕光华</t>
  </si>
  <si>
    <t>F950043148714369</t>
  </si>
  <si>
    <t>童安贵</t>
  </si>
  <si>
    <t>黄孝金,童安贵</t>
  </si>
  <si>
    <t>F950044574652192</t>
  </si>
  <si>
    <t>赵先秀</t>
  </si>
  <si>
    <t>F028274967171294</t>
  </si>
  <si>
    <t>凉井村委会</t>
  </si>
  <si>
    <t>喻洪清</t>
  </si>
  <si>
    <t>F416188363551576</t>
  </si>
  <si>
    <t>赵宗会</t>
  </si>
  <si>
    <t>杨正荣,赵宗会,潘淑芬</t>
  </si>
  <si>
    <t>F469773436127948</t>
  </si>
  <si>
    <t>王月其</t>
  </si>
  <si>
    <t>F626983322054574</t>
  </si>
  <si>
    <t>陈富全</t>
  </si>
  <si>
    <t>肖银秀,陈富全,张文俊</t>
  </si>
  <si>
    <t>F626995109242112</t>
  </si>
  <si>
    <t>夏开志</t>
  </si>
  <si>
    <t>夏开志,张朝容,夏秋林</t>
  </si>
  <si>
    <t>F711460797304451</t>
  </si>
  <si>
    <t>周保珍</t>
  </si>
  <si>
    <t>李洪清,周保珍</t>
  </si>
  <si>
    <t>F711467330219065</t>
  </si>
  <si>
    <t>曲别刻古</t>
  </si>
  <si>
    <t>彭月元,曲别刻古</t>
  </si>
  <si>
    <t>F762674810068037</t>
  </si>
  <si>
    <t>何太荣</t>
  </si>
  <si>
    <t>何太荣,王孝林</t>
  </si>
  <si>
    <t>F863588962717350</t>
  </si>
  <si>
    <t>赵光才</t>
  </si>
  <si>
    <t>赵光才,吴福秀</t>
  </si>
  <si>
    <t>F863593991819829</t>
  </si>
  <si>
    <t>王显会</t>
  </si>
  <si>
    <t>王显会,车忠贵</t>
  </si>
  <si>
    <t>F921133906480083</t>
  </si>
  <si>
    <t>潘启君</t>
  </si>
  <si>
    <t>刘兴平,潘启君</t>
  </si>
  <si>
    <t>F934303047985806</t>
  </si>
  <si>
    <t>王玉会</t>
  </si>
  <si>
    <t>王玉会,赵梦婕</t>
  </si>
  <si>
    <t>F950014437308098</t>
  </si>
  <si>
    <t>杨飞</t>
  </si>
  <si>
    <t>F950014558714119</t>
  </si>
  <si>
    <t>牟利珍</t>
  </si>
  <si>
    <t>牟利珍,何春梅</t>
  </si>
  <si>
    <t>F950015581371030</t>
  </si>
  <si>
    <t>罗正国</t>
  </si>
  <si>
    <t>F950018779808086</t>
  </si>
  <si>
    <t>李林</t>
  </si>
  <si>
    <t>F950024698714122</t>
  </si>
  <si>
    <t>潘福军</t>
  </si>
  <si>
    <t>F950024877308092</t>
  </si>
  <si>
    <t>艾登友</t>
  </si>
  <si>
    <t>F950026633401835</t>
  </si>
  <si>
    <t>方志全</t>
  </si>
  <si>
    <t>方志全,方滔</t>
  </si>
  <si>
    <t>F950029856214932</t>
  </si>
  <si>
    <t>李勤学</t>
  </si>
  <si>
    <t>F950032945276768</t>
  </si>
  <si>
    <t>瞿世才</t>
  </si>
  <si>
    <t>瞿世才,瞿美馨</t>
  </si>
  <si>
    <t>F950033828402676</t>
  </si>
  <si>
    <t>彭月怀</t>
  </si>
  <si>
    <t>F950034008402344</t>
  </si>
  <si>
    <t>邱兴连</t>
  </si>
  <si>
    <t>邱兴连,潘福能</t>
  </si>
  <si>
    <t>F950036962464899</t>
  </si>
  <si>
    <t>卢保琼</t>
  </si>
  <si>
    <t>F950044326057776</t>
  </si>
  <si>
    <t>何安本</t>
  </si>
  <si>
    <t>潘淑芬,何安本</t>
  </si>
  <si>
    <t>F970803425081141</t>
  </si>
  <si>
    <t>刘大才</t>
  </si>
  <si>
    <t>杨玉香,刘大才</t>
  </si>
  <si>
    <t>F974354807090450</t>
  </si>
  <si>
    <t>张贵全</t>
  </si>
  <si>
    <t>F206473685639367</t>
  </si>
  <si>
    <t>茶坪村委会</t>
  </si>
  <si>
    <t>谢代友</t>
  </si>
  <si>
    <t>F206475764546036</t>
  </si>
  <si>
    <t>周华明</t>
  </si>
  <si>
    <t>王春枝,周华明</t>
  </si>
  <si>
    <t>F834571970068070</t>
  </si>
  <si>
    <t>陈思思</t>
  </si>
  <si>
    <t>F949982254183510</t>
  </si>
  <si>
    <t>沈春秀</t>
  </si>
  <si>
    <t>F950011363714690</t>
  </si>
  <si>
    <t>吴福均</t>
  </si>
  <si>
    <t>吴福均,杨文兴</t>
  </si>
  <si>
    <t>F950011552308159</t>
  </si>
  <si>
    <t>刘金蓉</t>
  </si>
  <si>
    <t>F950013352932835</t>
  </si>
  <si>
    <t>王庚枝</t>
  </si>
  <si>
    <t>F950013458714106</t>
  </si>
  <si>
    <t>文永贵</t>
  </si>
  <si>
    <t>F950014854339406</t>
  </si>
  <si>
    <t>潘正先</t>
  </si>
  <si>
    <t>鲍乾,张平,潘正先,张安</t>
  </si>
  <si>
    <t>F950015414808173</t>
  </si>
  <si>
    <t>张锡山</t>
  </si>
  <si>
    <t>张锡山,夏从方</t>
  </si>
  <si>
    <t>F950015649026816</t>
  </si>
  <si>
    <t>潘先友</t>
  </si>
  <si>
    <t>F950016343870729</t>
  </si>
  <si>
    <t>余动宣</t>
  </si>
  <si>
    <t>F950016549027376</t>
  </si>
  <si>
    <t>夏翠兰</t>
  </si>
  <si>
    <t>严光洪,夏翠兰</t>
  </si>
  <si>
    <t>F950027204651820</t>
  </si>
  <si>
    <t>刘孔才</t>
  </si>
  <si>
    <t>王春容,刘孔才,刘春</t>
  </si>
  <si>
    <t>F950030736839725</t>
  </si>
  <si>
    <t>魏兴枝</t>
  </si>
  <si>
    <t>F950030989651947</t>
  </si>
  <si>
    <t>云敏</t>
  </si>
  <si>
    <t>F950033853089152</t>
  </si>
  <si>
    <t>汤佳群</t>
  </si>
  <si>
    <t>F950034002933311</t>
  </si>
  <si>
    <t>周维全</t>
  </si>
  <si>
    <t>周吉文,周维全</t>
  </si>
  <si>
    <t>F950034535432838</t>
  </si>
  <si>
    <t>周云华,代朝贵,周华文</t>
  </si>
  <si>
    <t>F950035124026771</t>
  </si>
  <si>
    <t>张立英</t>
  </si>
  <si>
    <t>F950036669339674</t>
  </si>
  <si>
    <t>王书兰</t>
  </si>
  <si>
    <t>F950036785589624</t>
  </si>
  <si>
    <t>潘英华</t>
  </si>
  <si>
    <t>F950037894808340</t>
  </si>
  <si>
    <t>万国秀</t>
  </si>
  <si>
    <t>F950038022151593</t>
  </si>
  <si>
    <t>秦天兰</t>
  </si>
  <si>
    <t>F950040430120326</t>
  </si>
  <si>
    <t>周根秀</t>
  </si>
  <si>
    <t>F950040723246378</t>
  </si>
  <si>
    <t>王仁均</t>
  </si>
  <si>
    <t>王仁均,罗文香</t>
  </si>
  <si>
    <t>F950041008089602</t>
  </si>
  <si>
    <t>陈显清</t>
  </si>
  <si>
    <t>陈明陶,陈显清</t>
  </si>
  <si>
    <t>F950042031214555</t>
  </si>
  <si>
    <t>胡太金</t>
  </si>
  <si>
    <t>胡太金,胡云,祝春香</t>
  </si>
  <si>
    <t>F950044483245778</t>
  </si>
  <si>
    <t>彭仁强</t>
  </si>
  <si>
    <t>F001782944161313</t>
  </si>
  <si>
    <t>友爱村委会</t>
  </si>
  <si>
    <t>邱云坤</t>
  </si>
  <si>
    <t>邱云坤,朱淑英</t>
  </si>
  <si>
    <t>F001784669571817</t>
  </si>
  <si>
    <t>罗兴龙</t>
  </si>
  <si>
    <t>F285942530072664</t>
  </si>
  <si>
    <t>邱仲明</t>
  </si>
  <si>
    <t>邱仲明,徐秀英</t>
  </si>
  <si>
    <t>F489604488817966</t>
  </si>
  <si>
    <t>彭忠华</t>
  </si>
  <si>
    <t>彭忠华,马作容</t>
  </si>
  <si>
    <t>F623544205804649</t>
  </si>
  <si>
    <t>吴林平</t>
  </si>
  <si>
    <t>吴洪利,吴小波,吴林平,钟琴,吴晓娟</t>
  </si>
  <si>
    <t>F623549801117050</t>
  </si>
  <si>
    <t>吴正旺</t>
  </si>
  <si>
    <t>F623550764710800</t>
  </si>
  <si>
    <t>罗大强</t>
  </si>
  <si>
    <t>罗正平,罗云川,罗大强</t>
  </si>
  <si>
    <t>F865018349169703</t>
  </si>
  <si>
    <t>张金贵</t>
  </si>
  <si>
    <t>F950022357152059</t>
  </si>
  <si>
    <t>王书伦</t>
  </si>
  <si>
    <t>王书伦,阿依以扎</t>
  </si>
  <si>
    <t>F076632906826917</t>
  </si>
  <si>
    <t>西门村委会</t>
  </si>
  <si>
    <t>刘芯利</t>
  </si>
  <si>
    <t>F314322355867102</t>
  </si>
  <si>
    <t>吴林正</t>
  </si>
  <si>
    <t>F367657455565328</t>
  </si>
  <si>
    <t>罗天秀</t>
  </si>
  <si>
    <t>F367668943534099</t>
  </si>
  <si>
    <t>胡佳欣</t>
  </si>
  <si>
    <t>胡红军,胡佳欣</t>
  </si>
  <si>
    <t>F549056820341825</t>
  </si>
  <si>
    <t>罗希贵</t>
  </si>
  <si>
    <t>王正芝,罗希贵</t>
  </si>
  <si>
    <t>F549074901271798</t>
  </si>
  <si>
    <t>张秀芝</t>
  </si>
  <si>
    <t>F623554076117046</t>
  </si>
  <si>
    <t>罗朝富</t>
  </si>
  <si>
    <t>廖文秀,罗朝富</t>
  </si>
  <si>
    <t>F684896798806914</t>
  </si>
  <si>
    <t>梁渝昊</t>
  </si>
  <si>
    <t>F711464780749264</t>
  </si>
  <si>
    <t>龚宗英</t>
  </si>
  <si>
    <t>龚宗英,许盛利</t>
  </si>
  <si>
    <t>F759540235314703</t>
  </si>
  <si>
    <t>邱兴贵</t>
  </si>
  <si>
    <t>邱兴贵,李烦难,李雅欣,邱云芳</t>
  </si>
  <si>
    <t>F814307751511966</t>
  </si>
  <si>
    <t>F814324938386961</t>
  </si>
  <si>
    <t>邱昌全</t>
  </si>
  <si>
    <t>F863602073740037</t>
  </si>
  <si>
    <t>张长兴</t>
  </si>
  <si>
    <t>张长兴,张汐雯,张晓琴,王建芝,张汐瑶,张鑫,邱霞</t>
  </si>
  <si>
    <t>F885564363147709</t>
  </si>
  <si>
    <t>熊金秀</t>
  </si>
  <si>
    <t>F944292391775502</t>
  </si>
  <si>
    <t>罗正学</t>
  </si>
  <si>
    <t>罗正学,罗庆冬,杨选秀,罗起超</t>
  </si>
  <si>
    <t>F949984151839367</t>
  </si>
  <si>
    <t>杨波</t>
  </si>
  <si>
    <t>杨琴,杨波</t>
  </si>
  <si>
    <t>F949984179808052</t>
  </si>
  <si>
    <t>黎明秀</t>
  </si>
  <si>
    <t>黎明秀,罗正洪,罗俊杰</t>
  </si>
  <si>
    <t>F950005740589062</t>
  </si>
  <si>
    <t>杨佐明</t>
  </si>
  <si>
    <t>F950014747620992</t>
  </si>
  <si>
    <t>罗正友</t>
  </si>
  <si>
    <t>F950014753558276</t>
  </si>
  <si>
    <t>F950018639495340</t>
  </si>
  <si>
    <t>吴旭梅</t>
  </si>
  <si>
    <t>F950024430589752</t>
  </si>
  <si>
    <t>王群英</t>
  </si>
  <si>
    <t>F950024923557982</t>
  </si>
  <si>
    <t>王鑫,王志强</t>
  </si>
  <si>
    <t>F950030874808412</t>
  </si>
  <si>
    <t>罗书建</t>
  </si>
  <si>
    <t>F950033189183372</t>
  </si>
  <si>
    <t>罗正涛</t>
  </si>
  <si>
    <t>F950039124652019</t>
  </si>
  <si>
    <t>王正如</t>
  </si>
  <si>
    <t>F974370359017707</t>
  </si>
  <si>
    <t>罗仕维</t>
  </si>
  <si>
    <t>F974417928135795</t>
  </si>
  <si>
    <t>汪云香</t>
  </si>
  <si>
    <t>F006884843401760</t>
  </si>
  <si>
    <t>龙兴村委会</t>
  </si>
  <si>
    <t>龚宗炳</t>
  </si>
  <si>
    <t>龚宗炳,龚帮洪</t>
  </si>
  <si>
    <t>F006894004026682</t>
  </si>
  <si>
    <t>张金友</t>
  </si>
  <si>
    <t>张金友,张银华</t>
  </si>
  <si>
    <t>F282128730126268</t>
  </si>
  <si>
    <t>罗子期</t>
  </si>
  <si>
    <t>罗子期,罗爽</t>
  </si>
  <si>
    <t>F616809975426058</t>
  </si>
  <si>
    <t>雷仕光</t>
  </si>
  <si>
    <t>F672001209542356</t>
  </si>
  <si>
    <t>陈远富</t>
  </si>
  <si>
    <t>李翠华,陈诗雨,陈远富</t>
  </si>
  <si>
    <t>F863598506069404</t>
  </si>
  <si>
    <t>廖小群</t>
  </si>
  <si>
    <t>F950024860120729</t>
  </si>
  <si>
    <t>陈泽银</t>
  </si>
  <si>
    <t>钟淑琼,陈泽银,陈洪平</t>
  </si>
  <si>
    <t>F950033865120558</t>
  </si>
  <si>
    <t>罗仕春</t>
  </si>
  <si>
    <t>F950034849339429</t>
  </si>
  <si>
    <t>邱杨</t>
  </si>
  <si>
    <t>F950044729495615</t>
  </si>
  <si>
    <t>杜康林</t>
  </si>
  <si>
    <t>F653803951828011</t>
  </si>
  <si>
    <t>寺坪村委会</t>
  </si>
  <si>
    <t>何俊强</t>
  </si>
  <si>
    <t>黎桂兰,何俊强</t>
  </si>
  <si>
    <t>F863584373626744</t>
  </si>
  <si>
    <t>龚成富</t>
  </si>
  <si>
    <t>F894678660992514</t>
  </si>
  <si>
    <t>何平福</t>
  </si>
  <si>
    <t>F907355138506506</t>
  </si>
  <si>
    <t>陈军方</t>
  </si>
  <si>
    <t>F950014439495764</t>
  </si>
  <si>
    <t>李天宝</t>
  </si>
  <si>
    <t>F950014966370640</t>
  </si>
  <si>
    <t>陈达华</t>
  </si>
  <si>
    <t>王卓,陈学良,陈达华,陈馨媚,周玉枝</t>
  </si>
  <si>
    <t>F950015818089459</t>
  </si>
  <si>
    <t>张志全</t>
  </si>
  <si>
    <t>张志全,邱桂兴</t>
  </si>
  <si>
    <t>F950026075902187</t>
  </si>
  <si>
    <t>朱淑芳</t>
  </si>
  <si>
    <t>F950029755432904</t>
  </si>
  <si>
    <t>何平乐</t>
  </si>
  <si>
    <t>F950032917626943</t>
  </si>
  <si>
    <t>何太兴</t>
  </si>
  <si>
    <t>何太兴,罗秀明,何欣悦,何欣怡</t>
  </si>
  <si>
    <t>F950033153558245</t>
  </si>
  <si>
    <t>何永华</t>
  </si>
  <si>
    <t>何永华,何国巨,潘绍珍</t>
  </si>
  <si>
    <t>F950035739495662</t>
  </si>
  <si>
    <t>洪华</t>
  </si>
  <si>
    <t>洪华,余安琼,洪歆瑶</t>
  </si>
  <si>
    <t>F950036271058225</t>
  </si>
  <si>
    <t>潘福森</t>
  </si>
  <si>
    <t>F950042101370327</t>
  </si>
  <si>
    <t>袁通洪</t>
  </si>
  <si>
    <t>袁通洪,袁超,袁东雨</t>
  </si>
  <si>
    <t>F076201603348806</t>
  </si>
  <si>
    <t>武圣乡</t>
  </si>
  <si>
    <t>柏杨村委会</t>
  </si>
  <si>
    <t>胡世态</t>
  </si>
  <si>
    <t>胡世态,王招双,胡智,代桂芝,胡万胜</t>
  </si>
  <si>
    <t>F231222583109698</t>
  </si>
  <si>
    <t>杨天银</t>
  </si>
  <si>
    <t>喻家琼,杨光军,杨光平,杨天银</t>
  </si>
  <si>
    <t>F418153470601861</t>
  </si>
  <si>
    <t>王玉珍,史兴艮</t>
  </si>
  <si>
    <t>F418159183219255</t>
  </si>
  <si>
    <t>杨寿英</t>
  </si>
  <si>
    <t>胡忠华,杨寿英</t>
  </si>
  <si>
    <t>F472454328157959</t>
  </si>
  <si>
    <t>胡洪成</t>
  </si>
  <si>
    <t>胡洪成,胡夕蕊</t>
  </si>
  <si>
    <t>F496684365124996</t>
  </si>
  <si>
    <t>胡洪彬</t>
  </si>
  <si>
    <t>胡洪彬,陈兴连,胡世才</t>
  </si>
  <si>
    <t>F573308417454778</t>
  </si>
  <si>
    <t>胡浩东</t>
  </si>
  <si>
    <t>胡娅轩,胡法拉,胡浩东</t>
  </si>
  <si>
    <t>F576242299910241</t>
  </si>
  <si>
    <t>朱良刚</t>
  </si>
  <si>
    <t>王义容,朱文,朱良刚,朱勇</t>
  </si>
  <si>
    <t>F623541980335817</t>
  </si>
  <si>
    <t>张国友,杨金英,张梨极</t>
  </si>
  <si>
    <t>F629985885670583</t>
  </si>
  <si>
    <t>蒋桂连</t>
  </si>
  <si>
    <t>蒋桂连,杨寿金,杨全兴,杨小方</t>
  </si>
  <si>
    <t>F629990780182243</t>
  </si>
  <si>
    <t>杨宣柱</t>
  </si>
  <si>
    <t>王光学,杨宣柱,杨香</t>
  </si>
  <si>
    <t>F729102002186275</t>
  </si>
  <si>
    <t>徐锦芳</t>
  </si>
  <si>
    <t>代世才,徐锦芳</t>
  </si>
  <si>
    <t>F816061592498954</t>
  </si>
  <si>
    <t>杨寿富</t>
  </si>
  <si>
    <t>杨琼淞,谯友芝,杨寿富</t>
  </si>
  <si>
    <t>F837316825098892</t>
  </si>
  <si>
    <t>何明珍</t>
  </si>
  <si>
    <t>F837320183382757</t>
  </si>
  <si>
    <t>杨东,杨光陶</t>
  </si>
  <si>
    <t>F888803512629447</t>
  </si>
  <si>
    <t>吴仕柱</t>
  </si>
  <si>
    <t>黄思雨,黄俊诚,吴仕柱,丁彩红</t>
  </si>
  <si>
    <t>F936900434704177</t>
  </si>
  <si>
    <t>杨峪媚</t>
  </si>
  <si>
    <t>F936914391891941</t>
  </si>
  <si>
    <t>谢大贵</t>
  </si>
  <si>
    <t>谢大贵,谢金伟,谢文东,谢春艳</t>
  </si>
  <si>
    <t>F947380778174093</t>
  </si>
  <si>
    <t>胡宝文</t>
  </si>
  <si>
    <t>胡洋川,胡宝文,童万艳,李加桃,胡静鑫,胡万奇</t>
  </si>
  <si>
    <t>F947385558707838</t>
  </si>
  <si>
    <t>李玉富</t>
  </si>
  <si>
    <t>李旭虹,王成英,李玉富</t>
  </si>
  <si>
    <t>F949984490589535</t>
  </si>
  <si>
    <t>李策珍</t>
  </si>
  <si>
    <t>F949986134339099</t>
  </si>
  <si>
    <t>杨世成</t>
  </si>
  <si>
    <t>曾云香,喻桂友,杨世成,杨林</t>
  </si>
  <si>
    <t>F950009732776911</t>
  </si>
  <si>
    <t>陈昌云</t>
  </si>
  <si>
    <t>陈灵玥,陈保健,陈昌云,胡世婷</t>
  </si>
  <si>
    <t>F950009831683351</t>
  </si>
  <si>
    <t>徐世国</t>
  </si>
  <si>
    <t>F950013400902070</t>
  </si>
  <si>
    <t>王仕林</t>
  </si>
  <si>
    <t>王仕林,唐崇均</t>
  </si>
  <si>
    <t>F950014565590193</t>
  </si>
  <si>
    <t>朱发容</t>
  </si>
  <si>
    <t>胡蕊,朱发容</t>
  </si>
  <si>
    <t>F950014986995427</t>
  </si>
  <si>
    <t>杨仕连</t>
  </si>
  <si>
    <t>陈春燕,陈波,杨仕连,陈楚艮</t>
  </si>
  <si>
    <t>F950015531214633</t>
  </si>
  <si>
    <t>许茂芝</t>
  </si>
  <si>
    <t>朱良华,许茂芝</t>
  </si>
  <si>
    <t>F950016729495349</t>
  </si>
  <si>
    <t>范有珍</t>
  </si>
  <si>
    <t>F950018556214730</t>
  </si>
  <si>
    <t>杜瑞兵</t>
  </si>
  <si>
    <t>雷阳秀,杜凤平,杜瑞兵,袁世红,杜悠美</t>
  </si>
  <si>
    <t>F950020335120848</t>
  </si>
  <si>
    <t>何皓宸</t>
  </si>
  <si>
    <t>F950020788558101</t>
  </si>
  <si>
    <t>胡世祥</t>
  </si>
  <si>
    <t>刘代利,夏仁波,胡世祥,胡万才</t>
  </si>
  <si>
    <t>F950024676214060</t>
  </si>
  <si>
    <t>胡万鹏</t>
  </si>
  <si>
    <t>黄明芝,胡世万,胡万鹏,胡莉</t>
  </si>
  <si>
    <t>F950024931214298</t>
  </si>
  <si>
    <t>杨景辰,杨玉霞,杨泽鑫,夏晓玲,杨仕明,徐成珍,吴妹</t>
  </si>
  <si>
    <t>F950025049339554</t>
  </si>
  <si>
    <t>F950025149808409</t>
  </si>
  <si>
    <t>李道富</t>
  </si>
  <si>
    <t>F950025157151790</t>
  </si>
  <si>
    <t>龚秀珍</t>
  </si>
  <si>
    <t>杜朝兵,龚秀珍</t>
  </si>
  <si>
    <t>F950025810745929</t>
  </si>
  <si>
    <t>胡世友</t>
  </si>
  <si>
    <t>胡世友,何永香,胡万招</t>
  </si>
  <si>
    <t>F950025955120459</t>
  </si>
  <si>
    <t>杨宣书</t>
  </si>
  <si>
    <t>杨宣书,熊永菊,杨鑫</t>
  </si>
  <si>
    <t>F950026211839920</t>
  </si>
  <si>
    <t>赖光清</t>
  </si>
  <si>
    <t>F950028592620640</t>
  </si>
  <si>
    <t>彭国金,张福林</t>
  </si>
  <si>
    <t>F950028950901684</t>
  </si>
  <si>
    <t>王代文</t>
  </si>
  <si>
    <t>F950029825745627</t>
  </si>
  <si>
    <t>杜朝品</t>
  </si>
  <si>
    <t>F950029876214300</t>
  </si>
  <si>
    <t>杜瑞祥</t>
  </si>
  <si>
    <t>杜明浩,胡太红,杜瑞祥,杜凤奎,杜明宸</t>
  </si>
  <si>
    <t>F950029945120394</t>
  </si>
  <si>
    <t>李云贵</t>
  </si>
  <si>
    <t>王世相,李琴,李云贵,李霞</t>
  </si>
  <si>
    <t>F950030742777162</t>
  </si>
  <si>
    <t>胡洪文</t>
  </si>
  <si>
    <t>F950031992933581</t>
  </si>
  <si>
    <t>赖建艮</t>
  </si>
  <si>
    <t>赖建和,赖建艮</t>
  </si>
  <si>
    <t>F950032671526888</t>
  </si>
  <si>
    <t>F950032878558418</t>
  </si>
  <si>
    <t>吴永发</t>
  </si>
  <si>
    <t>吴洪刚,吴永发,吴俊颉</t>
  </si>
  <si>
    <t>F950035174651609</t>
  </si>
  <si>
    <t>陈俊全</t>
  </si>
  <si>
    <t>陈俊全,喻桂超,陈一文,陈一中</t>
  </si>
  <si>
    <t>F950035224495616</t>
  </si>
  <si>
    <t>李道友</t>
  </si>
  <si>
    <t>F950036607308039</t>
  </si>
  <si>
    <t>F950036628401558</t>
  </si>
  <si>
    <t>彭立富</t>
  </si>
  <si>
    <t>王仕青,彭国友,彭青云,彭立富,汤龙香</t>
  </si>
  <si>
    <t>F950038587464521</t>
  </si>
  <si>
    <t>王书荣</t>
  </si>
  <si>
    <t>F950039100276865</t>
  </si>
  <si>
    <t>杨宣钊</t>
  </si>
  <si>
    <t>杨宣钊,潘绍秀,杨静,杨慧</t>
  </si>
  <si>
    <t>F950039112151703</t>
  </si>
  <si>
    <t>何贤富</t>
  </si>
  <si>
    <t>F950040069495611</t>
  </si>
  <si>
    <t>F950040637152068</t>
  </si>
  <si>
    <t>潘福珍</t>
  </si>
  <si>
    <t>F950040837776447</t>
  </si>
  <si>
    <t>吴明才</t>
  </si>
  <si>
    <t>吴明才,胡洪香,吴加军</t>
  </si>
  <si>
    <t>F950042775901654</t>
  </si>
  <si>
    <t>杜朝荣</t>
  </si>
  <si>
    <t>杜朝荣,杜芮君</t>
  </si>
  <si>
    <t>F950042879651974</t>
  </si>
  <si>
    <t>罗桂玲</t>
  </si>
  <si>
    <t>F950042998402025</t>
  </si>
  <si>
    <t>杨宣亮</t>
  </si>
  <si>
    <t>F950043111058289</t>
  </si>
  <si>
    <t>杨孝芝</t>
  </si>
  <si>
    <t>F950043140120606</t>
  </si>
  <si>
    <t>柯昌秀</t>
  </si>
  <si>
    <t>柯昌秀,杜朝魁</t>
  </si>
  <si>
    <t>F950044021527169</t>
  </si>
  <si>
    <t>彭国廷</t>
  </si>
  <si>
    <t>彭一博,宋云秀,彭国廷,彭立华</t>
  </si>
  <si>
    <t>F200642917126465</t>
  </si>
  <si>
    <t>新民村委会</t>
  </si>
  <si>
    <t>杨在秀</t>
  </si>
  <si>
    <t>杨在秀,黄祥高</t>
  </si>
  <si>
    <t>F200662361970150</t>
  </si>
  <si>
    <t>F227842413578788</t>
  </si>
  <si>
    <t>黄祥卫</t>
  </si>
  <si>
    <t>黄祥卫,黄彬,陈国珍</t>
  </si>
  <si>
    <t>F262977951065432</t>
  </si>
  <si>
    <t>陈绍杰</t>
  </si>
  <si>
    <t>陈绍杰,马永秀,陈怡,陈敏</t>
  </si>
  <si>
    <t>F573312870146742</t>
  </si>
  <si>
    <t>李春贵</t>
  </si>
  <si>
    <t>陈远旭,李静,李春贵</t>
  </si>
  <si>
    <t>F597697862923204</t>
  </si>
  <si>
    <t>夏富清</t>
  </si>
  <si>
    <t>F784067200313014</t>
  </si>
  <si>
    <t>刘廷贵</t>
  </si>
  <si>
    <t>刘息玉,彭粒,刘廷贵,彭少荣,彭皓</t>
  </si>
  <si>
    <t>F949982030745486</t>
  </si>
  <si>
    <t>邓仕银</t>
  </si>
  <si>
    <t>邓仕银,邓顺强,邓霞</t>
  </si>
  <si>
    <t>F949984379964206</t>
  </si>
  <si>
    <t>陈峪娇</t>
  </si>
  <si>
    <t>F950011388871000</t>
  </si>
  <si>
    <t>陈远松</t>
  </si>
  <si>
    <t>袁孔花,陈远松,陈东旭</t>
  </si>
  <si>
    <t>F950013111058086</t>
  </si>
  <si>
    <t>吴玖贵</t>
  </si>
  <si>
    <t>崔成秀,吴玖贵</t>
  </si>
  <si>
    <t>F950016664027178</t>
  </si>
  <si>
    <t>魏炳兰</t>
  </si>
  <si>
    <t>魏炳兰,魏志强,魏可馨,陈远芬,李玲,魏科吉,魏艾琳</t>
  </si>
  <si>
    <t>F950020771057875</t>
  </si>
  <si>
    <t>杨建富</t>
  </si>
  <si>
    <t>F950022673245302</t>
  </si>
  <si>
    <t>刘兴发</t>
  </si>
  <si>
    <t>刘兴发,陈国英</t>
  </si>
  <si>
    <t>F950024562151747</t>
  </si>
  <si>
    <t>舒从兰</t>
  </si>
  <si>
    <t>F950025914808682</t>
  </si>
  <si>
    <t>陈健</t>
  </si>
  <si>
    <t>F950026578245792</t>
  </si>
  <si>
    <t>刘杰</t>
  </si>
  <si>
    <t>F950028208245916</t>
  </si>
  <si>
    <t>刘明吉</t>
  </si>
  <si>
    <t>刘明吉,刘琼穗,吉作左巫,刘炳延,刘思阳</t>
  </si>
  <si>
    <t>F950028427776877</t>
  </si>
  <si>
    <t>曾国林</t>
  </si>
  <si>
    <t>曾奎,曾虹,谯友秀,曾国林</t>
  </si>
  <si>
    <t>F950028656839574</t>
  </si>
  <si>
    <t>刘文发</t>
  </si>
  <si>
    <t>刘文发,胡友珍,杨素英,刘峻池,刘明强</t>
  </si>
  <si>
    <t>F950029885589991</t>
  </si>
  <si>
    <t>吴永树</t>
  </si>
  <si>
    <t>F950030825120653</t>
  </si>
  <si>
    <t>马召明</t>
  </si>
  <si>
    <t>马程睿,马召明,马永强,陈尚芝</t>
  </si>
  <si>
    <t>F950041053871035</t>
  </si>
  <si>
    <t>黄祥忠</t>
  </si>
  <si>
    <t>黄岳锋,黄祥忠,唐招秀</t>
  </si>
  <si>
    <t>F950043264182967</t>
  </si>
  <si>
    <t>陈远书</t>
  </si>
  <si>
    <t>F950043985745731</t>
  </si>
  <si>
    <t>张成容</t>
  </si>
  <si>
    <t>F950044448870669</t>
  </si>
  <si>
    <t>宋世均</t>
  </si>
  <si>
    <t>谢贤友,李世英,宋加林,宋世均</t>
  </si>
  <si>
    <t>F973165284124101</t>
  </si>
  <si>
    <t>张坤华</t>
  </si>
  <si>
    <t>张坤华,杨昌树</t>
  </si>
  <si>
    <t>F006618026995269</t>
  </si>
  <si>
    <t>新店村委会</t>
  </si>
  <si>
    <t>雷业伦</t>
  </si>
  <si>
    <t>雷业伦,崔碧华</t>
  </si>
  <si>
    <t>F066981341086288</t>
  </si>
  <si>
    <t>彭荣红</t>
  </si>
  <si>
    <t>彭心雨,彭荣红,彭苑源,张兰蓉,张光秀,彭欣妍</t>
  </si>
  <si>
    <t>F175877410792966</t>
  </si>
  <si>
    <t>陈安素</t>
  </si>
  <si>
    <t>钟艳红,陈安素</t>
  </si>
  <si>
    <t>F257398732878990</t>
  </si>
  <si>
    <t>邓加红</t>
  </si>
  <si>
    <t>邓加红,邓龙安,陈桂芝</t>
  </si>
  <si>
    <t>F258751402474261</t>
  </si>
  <si>
    <t>王明贵</t>
  </si>
  <si>
    <t>邬国秀,王羿锡,王明贵,王修莲</t>
  </si>
  <si>
    <t>F258757489509209</t>
  </si>
  <si>
    <t>雷强</t>
  </si>
  <si>
    <t>F312604099158155</t>
  </si>
  <si>
    <t>雷显兵</t>
  </si>
  <si>
    <t>雷显兵,吴连芝</t>
  </si>
  <si>
    <t>F521958347605070</t>
  </si>
  <si>
    <t>雷万刚</t>
  </si>
  <si>
    <t>F573302592753696</t>
  </si>
  <si>
    <t>吴国伦</t>
  </si>
  <si>
    <t>吴雷,吴杰,雷显秋,雷业林,吴国伦</t>
  </si>
  <si>
    <t>F676816829005408</t>
  </si>
  <si>
    <t>杜永方</t>
  </si>
  <si>
    <t>聂世银,杜成友,杜沿李,杜沿霖,杜永方,李平</t>
  </si>
  <si>
    <t>F729137678499917</t>
  </si>
  <si>
    <t>瞿咏梅</t>
  </si>
  <si>
    <t>王雨薇,瞿咏梅</t>
  </si>
  <si>
    <t>F861496316292704</t>
  </si>
  <si>
    <t>白成贵</t>
  </si>
  <si>
    <t>白成贵,罗功秀,白雪蓉</t>
  </si>
  <si>
    <t>F934076683994587</t>
  </si>
  <si>
    <t>任国清</t>
  </si>
  <si>
    <t>F949982044964322</t>
  </si>
  <si>
    <t>雷家洪</t>
  </si>
  <si>
    <t>雷健辉,雷国祥,雷家洪,段小喜</t>
  </si>
  <si>
    <t>F949984093870547</t>
  </si>
  <si>
    <t>童守高</t>
  </si>
  <si>
    <t>童守高,童春,童啟燕,舒家煊</t>
  </si>
  <si>
    <t>F949985991526578</t>
  </si>
  <si>
    <t>史贤文</t>
  </si>
  <si>
    <t>史贤文,史良刚</t>
  </si>
  <si>
    <t>F949986054026987</t>
  </si>
  <si>
    <t>王小兰</t>
  </si>
  <si>
    <t>F950013200277064</t>
  </si>
  <si>
    <t>李天强</t>
  </si>
  <si>
    <t>F950022467308179</t>
  </si>
  <si>
    <t>雷显波</t>
  </si>
  <si>
    <t>雷朝阳,雷智勇,王忠芝,雷扬军,雷显波</t>
  </si>
  <si>
    <t>F950026989964058</t>
  </si>
  <si>
    <t>黄成友</t>
  </si>
  <si>
    <t>王素容,陈圣泉,陈桧,黄成友,陈昌顺,王良富</t>
  </si>
  <si>
    <t>F950030641683937</t>
  </si>
  <si>
    <t>史贤友</t>
  </si>
  <si>
    <t>F950031783870599</t>
  </si>
  <si>
    <t>吕国秀</t>
  </si>
  <si>
    <t>王修亮,吕国秀,王宇宣</t>
  </si>
  <si>
    <t>F950031878557969</t>
  </si>
  <si>
    <t>彭广华,陈鸿,陈学友,罗永红</t>
  </si>
  <si>
    <t>F950032610120622</t>
  </si>
  <si>
    <t>谢孔树</t>
  </si>
  <si>
    <t>谢凯鹏,狄于玲,谢孔树</t>
  </si>
  <si>
    <t>F950034875745372</t>
  </si>
  <si>
    <t>杨明容,雷杨军,胡其秀,雷显辉,雷扬春</t>
  </si>
  <si>
    <t>F950036422776648</t>
  </si>
  <si>
    <t>童守俊</t>
  </si>
  <si>
    <t>F950036914027259</t>
  </si>
  <si>
    <t>赵成芳</t>
  </si>
  <si>
    <t>赵成芳,雷秋燕,杨桂莲</t>
  </si>
  <si>
    <t>F950037062933290</t>
  </si>
  <si>
    <t>雷秀琼</t>
  </si>
  <si>
    <t>雷秀琼,邓小蕾,胡倍铭</t>
  </si>
  <si>
    <t>F950037985588867</t>
  </si>
  <si>
    <t>雷业祥</t>
  </si>
  <si>
    <t>F950038420746177</t>
  </si>
  <si>
    <t>童晓容</t>
  </si>
  <si>
    <t>F950039930433107</t>
  </si>
  <si>
    <t>吴光忠</t>
  </si>
  <si>
    <t>刘弟秀,吴光忠,王光平,王良辉</t>
  </si>
  <si>
    <t>F950040019495608</t>
  </si>
  <si>
    <t>王良柱</t>
  </si>
  <si>
    <t>F950040788714509</t>
  </si>
  <si>
    <t>雷业俊</t>
  </si>
  <si>
    <t>F973320648978017</t>
  </si>
  <si>
    <t>雷阳春</t>
  </si>
  <si>
    <t>F973325252688784</t>
  </si>
  <si>
    <t>徐田贵</t>
  </si>
  <si>
    <t>徐兰,杨明芳,徐田贵,徐飞燕</t>
  </si>
  <si>
    <t>F973330023655366</t>
  </si>
  <si>
    <t>李永万</t>
  </si>
  <si>
    <t>李永万,张启英,李军</t>
  </si>
  <si>
    <t>F071547971862979</t>
  </si>
  <si>
    <t>罗山村委会</t>
  </si>
  <si>
    <t>何林</t>
  </si>
  <si>
    <t>李红洁,何林</t>
  </si>
  <si>
    <t>F248910150046875</t>
  </si>
  <si>
    <t>陈德文</t>
  </si>
  <si>
    <t>陈伯冲,陈德文</t>
  </si>
  <si>
    <t>F269503417985711</t>
  </si>
  <si>
    <t>罗连珍</t>
  </si>
  <si>
    <t>王杰,王子召,罗连珍</t>
  </si>
  <si>
    <t>F269510799079457</t>
  </si>
  <si>
    <t>陈明贵</t>
  </si>
  <si>
    <t>F284935956068237</t>
  </si>
  <si>
    <t>田庆容</t>
  </si>
  <si>
    <t>F364687665418014</t>
  </si>
  <si>
    <t>祝云良</t>
  </si>
  <si>
    <t>F364695523269554</t>
  </si>
  <si>
    <t>刘文永</t>
  </si>
  <si>
    <t>刘俞霞,刘文永,毛苹</t>
  </si>
  <si>
    <t>F387771801076986</t>
  </si>
  <si>
    <t>陈红</t>
  </si>
  <si>
    <t>陈红,陈思雅,陈嘉艺</t>
  </si>
  <si>
    <t>F468403790413252</t>
  </si>
  <si>
    <t>陈加林</t>
  </si>
  <si>
    <t>陈加林,陈璐,陈海金,陈伯如,彭国红,陈宇翔</t>
  </si>
  <si>
    <t>F520564431868007</t>
  </si>
  <si>
    <t>戴诗玥</t>
  </si>
  <si>
    <t>陈俐均,戴诗玥</t>
  </si>
  <si>
    <t>F574959428496041</t>
  </si>
  <si>
    <t>魏志君,魏崎旭,魏兴国</t>
  </si>
  <si>
    <t>F628521691898332</t>
  </si>
  <si>
    <t>魏兴桥</t>
  </si>
  <si>
    <t>王淑容,胡廷秀,魏兴桥,魏志凯,魏觅涵</t>
  </si>
  <si>
    <t>F628526012992064</t>
  </si>
  <si>
    <t>罗明金</t>
  </si>
  <si>
    <t>童寿连,罗明金,罗志高</t>
  </si>
  <si>
    <t>F729127718768390</t>
  </si>
  <si>
    <t>徐文祥</t>
  </si>
  <si>
    <t>刘诗杨,徐文祥,刘彬彬</t>
  </si>
  <si>
    <t>F861315780113347</t>
  </si>
  <si>
    <t>雷平</t>
  </si>
  <si>
    <t>雷平,雷竣棠</t>
  </si>
  <si>
    <t>F888811496787593</t>
  </si>
  <si>
    <t>李远华</t>
  </si>
  <si>
    <t>李康贵,李远华,刘光明</t>
  </si>
  <si>
    <t>F934078121025648</t>
  </si>
  <si>
    <t>陆艺诚</t>
  </si>
  <si>
    <t>陆光强,陆艺诚</t>
  </si>
  <si>
    <t>F949984447464330</t>
  </si>
  <si>
    <t>邹华宗</t>
  </si>
  <si>
    <t>董银珍,邹华宗</t>
  </si>
  <si>
    <t>F950009674183447</t>
  </si>
  <si>
    <t>吴光兴</t>
  </si>
  <si>
    <t>F950009863089072</t>
  </si>
  <si>
    <t>田银金</t>
  </si>
  <si>
    <t>F950011355745973</t>
  </si>
  <si>
    <t>钟福友</t>
  </si>
  <si>
    <t>钟福友,钟明贵,马玉珍</t>
  </si>
  <si>
    <t>F950011462776924</t>
  </si>
  <si>
    <t>王瑞章</t>
  </si>
  <si>
    <t>F950014719808110</t>
  </si>
  <si>
    <t>王殿芝</t>
  </si>
  <si>
    <t>F950015360276639</t>
  </si>
  <si>
    <t>魏自林</t>
  </si>
  <si>
    <t>F950018519652154</t>
  </si>
  <si>
    <t>吴治才</t>
  </si>
  <si>
    <t>F950020295277003</t>
  </si>
  <si>
    <t>罗贵友</t>
  </si>
  <si>
    <t>罗贵友,何志华</t>
  </si>
  <si>
    <t>F950022461839034</t>
  </si>
  <si>
    <t>李再友</t>
  </si>
  <si>
    <t>李再友,李加富</t>
  </si>
  <si>
    <t>F950024222464222</t>
  </si>
  <si>
    <t>杨永海</t>
  </si>
  <si>
    <t>F950024730276739</t>
  </si>
  <si>
    <t>刘义珍</t>
  </si>
  <si>
    <t>F950027224339034</t>
  </si>
  <si>
    <t>陈贤贵</t>
  </si>
  <si>
    <t>张开玉,陈贤贵</t>
  </si>
  <si>
    <t>F950027229183466</t>
  </si>
  <si>
    <t>陈招友</t>
  </si>
  <si>
    <t>陈招友,陈新,陈贵廷,田昌芝</t>
  </si>
  <si>
    <t>F950027933089559</t>
  </si>
  <si>
    <t>吴保珍</t>
  </si>
  <si>
    <t>胡跃奎,陈伯熊,胡界鸿,吴保珍</t>
  </si>
  <si>
    <t>F950028247776730</t>
  </si>
  <si>
    <t>郭贻军</t>
  </si>
  <si>
    <t>郭洪秀,郭贻军</t>
  </si>
  <si>
    <t>F950028799495701</t>
  </si>
  <si>
    <t>黄禄贵</t>
  </si>
  <si>
    <t>黄帧富,黄禄贵,李国莲,黄兰,陈秋林</t>
  </si>
  <si>
    <t>F950029130276852</t>
  </si>
  <si>
    <t>董万平</t>
  </si>
  <si>
    <t>李良芝,董万平,吴逢芝,董子娟,董子江</t>
  </si>
  <si>
    <t>F950030086683093</t>
  </si>
  <si>
    <t>曹贵兴</t>
  </si>
  <si>
    <t>曹贵兴,曹志强,曹志平,曹冬梅,曹志富</t>
  </si>
  <si>
    <t>F950030118557913</t>
  </si>
  <si>
    <t>杨寿六</t>
  </si>
  <si>
    <t>F950030468870275</t>
  </si>
  <si>
    <t>董明清</t>
  </si>
  <si>
    <t>杨双有,董明清</t>
  </si>
  <si>
    <t>F950030650745613</t>
  </si>
  <si>
    <t>邹进召</t>
  </si>
  <si>
    <t>F950030757932890</t>
  </si>
  <si>
    <t>陈远强</t>
  </si>
  <si>
    <t>雷正芬,陈远强,陈丽,陈晓刚</t>
  </si>
  <si>
    <t>F950033985433093</t>
  </si>
  <si>
    <t>谢晓强</t>
  </si>
  <si>
    <t>F950034060745656</t>
  </si>
  <si>
    <t>刘永贵</t>
  </si>
  <si>
    <t>王永,刘永贵,刘俊成</t>
  </si>
  <si>
    <t>F950034413245678</t>
  </si>
  <si>
    <t>潘华芝</t>
  </si>
  <si>
    <t>F950034552152130</t>
  </si>
  <si>
    <t>李洲玉</t>
  </si>
  <si>
    <t>F950034917308312</t>
  </si>
  <si>
    <t>田银友</t>
  </si>
  <si>
    <t>F950036972777303</t>
  </si>
  <si>
    <t>张文秀</t>
  </si>
  <si>
    <t>张文秀,李志珍</t>
  </si>
  <si>
    <t>F950037066370957</t>
  </si>
  <si>
    <t>魏武春</t>
  </si>
  <si>
    <t>F950040100433771</t>
  </si>
  <si>
    <t>徐成前</t>
  </si>
  <si>
    <t>唐根秀,徐文清,徐成前</t>
  </si>
  <si>
    <t>F950041273402294</t>
  </si>
  <si>
    <t>吴光金</t>
  </si>
  <si>
    <t>吴明芳,杨寿珍,吴光金</t>
  </si>
  <si>
    <t>F950042003870391</t>
  </si>
  <si>
    <t>宋小英,李东洋,李国文,李苹</t>
  </si>
  <si>
    <t>F950042435276850</t>
  </si>
  <si>
    <t>李国桃</t>
  </si>
  <si>
    <t>F950042478089235</t>
  </si>
  <si>
    <t>李代银</t>
  </si>
  <si>
    <t>F950042893558213</t>
  </si>
  <si>
    <t>吴桂芝</t>
  </si>
  <si>
    <t>F950043228089681</t>
  </si>
  <si>
    <t>王政强</t>
  </si>
  <si>
    <t>王政强,王伟,王恩勋</t>
  </si>
  <si>
    <t>F973315447161294</t>
  </si>
  <si>
    <t>陆云</t>
  </si>
  <si>
    <t>F175869403298626</t>
  </si>
  <si>
    <t>白凤村委会</t>
  </si>
  <si>
    <t>王堂富</t>
  </si>
  <si>
    <t>王光荣,王堂富</t>
  </si>
  <si>
    <t>F205803412358053</t>
  </si>
  <si>
    <t>吴永西</t>
  </si>
  <si>
    <t>F244589812748610</t>
  </si>
  <si>
    <t>唐碧春</t>
  </si>
  <si>
    <t>唐碧春,唐江,苏锦凤</t>
  </si>
  <si>
    <t>F496008514665490</t>
  </si>
  <si>
    <t>吴俊霖</t>
  </si>
  <si>
    <t>F496033864987698</t>
  </si>
  <si>
    <t>陈刚</t>
  </si>
  <si>
    <t>陈刚,陈乾,杜瑞燕,陈寐</t>
  </si>
  <si>
    <t>F496050919969031</t>
  </si>
  <si>
    <t>邱仕会</t>
  </si>
  <si>
    <t>曾桂英,邱仕会,吴明珍</t>
  </si>
  <si>
    <t>F630278587679557</t>
  </si>
  <si>
    <t>吴永贵</t>
  </si>
  <si>
    <t>吴永贵,吴雨霞,徐菲,徐应珍,吴佳桂</t>
  </si>
  <si>
    <t>F630282745960830</t>
  </si>
  <si>
    <t>李铃</t>
  </si>
  <si>
    <t>李星雨,李政阳,李欣潞,汪群香,李铃,陈宇香,李银桥</t>
  </si>
  <si>
    <t>F684881750681947</t>
  </si>
  <si>
    <t>王堂根</t>
  </si>
  <si>
    <t>霍乃玉,童代智,王堂根,王尚炜</t>
  </si>
  <si>
    <t>F756086902177087</t>
  </si>
  <si>
    <t>黄贵宣</t>
  </si>
  <si>
    <t>黄晓路,黄贵宣</t>
  </si>
  <si>
    <t>F896080433938126</t>
  </si>
  <si>
    <t>F949982220433098</t>
  </si>
  <si>
    <t>马召平</t>
  </si>
  <si>
    <t>马钱慧,马召平,马全,李培利</t>
  </si>
  <si>
    <t>F949984482464537</t>
  </si>
  <si>
    <t>王汝堂</t>
  </si>
  <si>
    <t>F949986026214349</t>
  </si>
  <si>
    <t>王槐新</t>
  </si>
  <si>
    <t>彭富钢,霍超秀,彭玉汐,彭云强,王槐新,王进香</t>
  </si>
  <si>
    <t>F950011704495747</t>
  </si>
  <si>
    <t>成贵元</t>
  </si>
  <si>
    <t>张贵珍,成贵元,黄月芳,成晓琴</t>
  </si>
  <si>
    <t>F950013732464562</t>
  </si>
  <si>
    <t>熊秀珍</t>
  </si>
  <si>
    <t>杨才友,熊秀珍</t>
  </si>
  <si>
    <t>F950014518245421</t>
  </si>
  <si>
    <t>杨寿芝</t>
  </si>
  <si>
    <t>F950015767307925</t>
  </si>
  <si>
    <t>刘光辉</t>
  </si>
  <si>
    <t>吴明香,刘光辉</t>
  </si>
  <si>
    <t>F950015774652120</t>
  </si>
  <si>
    <t>唐登高</t>
  </si>
  <si>
    <t>唐登高,唐红蕊,唐科富,杨贵芝</t>
  </si>
  <si>
    <t>F950024754808182</t>
  </si>
  <si>
    <t>吴仕全</t>
  </si>
  <si>
    <t>吴建春,卢翁抽,吴银霞,吴仕全</t>
  </si>
  <si>
    <t>F950024809651761</t>
  </si>
  <si>
    <t>李启江</t>
  </si>
  <si>
    <t>李启江,胡双玲,李建雄</t>
  </si>
  <si>
    <t>F950024996839394</t>
  </si>
  <si>
    <t>唐玉根</t>
  </si>
  <si>
    <t>唐玉根,唐梦霞,唐莉,唐一超,唐海萍,余华英</t>
  </si>
  <si>
    <t>F950028231526994</t>
  </si>
  <si>
    <t>李培东</t>
  </si>
  <si>
    <t>李培东,李德君,牟万香,李容,李晓晴</t>
  </si>
  <si>
    <t>F950028364339726</t>
  </si>
  <si>
    <t>文联分</t>
  </si>
  <si>
    <t>F950030928870304</t>
  </si>
  <si>
    <t>李武才</t>
  </si>
  <si>
    <t>李武才,胡仕秀</t>
  </si>
  <si>
    <t>F950031804651806</t>
  </si>
  <si>
    <t>吴永平</t>
  </si>
  <si>
    <t>F950032326058287</t>
  </si>
  <si>
    <t>文崇均</t>
  </si>
  <si>
    <t>文江红,彭学文,文崇均</t>
  </si>
  <si>
    <t>F950032793557980</t>
  </si>
  <si>
    <t>王勇堂</t>
  </si>
  <si>
    <t>王勇堂,王晓红,王晓芳,罗志秀</t>
  </si>
  <si>
    <t>F950034115120579</t>
  </si>
  <si>
    <t>吴永书</t>
  </si>
  <si>
    <t>吴永书,林正英</t>
  </si>
  <si>
    <t>F950034177776807</t>
  </si>
  <si>
    <t>王正飞</t>
  </si>
  <si>
    <t>吴建宏,王正飞,吴秋洁</t>
  </si>
  <si>
    <t>F950034377464563</t>
  </si>
  <si>
    <t>胡安秀</t>
  </si>
  <si>
    <t>F950034710901716</t>
  </si>
  <si>
    <t>王槐春</t>
  </si>
  <si>
    <t>李桂芝,王槐春,王槐明</t>
  </si>
  <si>
    <t>F950035799808720</t>
  </si>
  <si>
    <t>陈文贵</t>
  </si>
  <si>
    <t>李兴连,陈文贵,陈芮</t>
  </si>
  <si>
    <t>F950035873870293</t>
  </si>
  <si>
    <t>文登春</t>
  </si>
  <si>
    <t>F950036126214380</t>
  </si>
  <si>
    <t>范兴英</t>
  </si>
  <si>
    <t>范兴英,车必军</t>
  </si>
  <si>
    <t>F950038805902054</t>
  </si>
  <si>
    <t>沈学军</t>
  </si>
  <si>
    <t>沈学军,沈鸿,戚春叶</t>
  </si>
  <si>
    <t>F950039233870718</t>
  </si>
  <si>
    <t>杨兴君</t>
  </si>
  <si>
    <t>邓昌玉,杨兴君,王秀珍,杨慧,杨平,杨芳</t>
  </si>
  <si>
    <t>F950041972933163</t>
  </si>
  <si>
    <t>李成光</t>
  </si>
  <si>
    <t>李成光,刘培芝,李天波</t>
  </si>
  <si>
    <t>F950042048245860</t>
  </si>
  <si>
    <t>吴仕红</t>
  </si>
  <si>
    <t>F950043237152124</t>
  </si>
  <si>
    <t>王凤明</t>
  </si>
  <si>
    <t>F950043335902005</t>
  </si>
  <si>
    <t>吴洪秀</t>
  </si>
  <si>
    <t>李燕,吴洪秀</t>
  </si>
  <si>
    <t>F950043941058147</t>
  </si>
  <si>
    <t>王儒超</t>
  </si>
  <si>
    <t>龙世珍,王槐昌,王儒超</t>
  </si>
  <si>
    <t>F950043943558092</t>
  </si>
  <si>
    <t>李万友</t>
  </si>
  <si>
    <t>F205786699232940</t>
  </si>
  <si>
    <t>德胜村委会</t>
  </si>
  <si>
    <t>任云华</t>
  </si>
  <si>
    <t>王家凤,任云华</t>
  </si>
  <si>
    <t>F230133462400213</t>
  </si>
  <si>
    <t>邹开文</t>
  </si>
  <si>
    <t>F267272327985748</t>
  </si>
  <si>
    <t>罗伍珍,王安友,王定双</t>
  </si>
  <si>
    <t>F267738951423165</t>
  </si>
  <si>
    <t>杨显友</t>
  </si>
  <si>
    <t>杨显友,杨丽容,杨丽媛</t>
  </si>
  <si>
    <t>F267743282517085</t>
  </si>
  <si>
    <t>杨甲相</t>
  </si>
  <si>
    <t>李伍秀,杨甲相</t>
  </si>
  <si>
    <t>F267750642829262</t>
  </si>
  <si>
    <t>王成明</t>
  </si>
  <si>
    <t>李隆珍,王梓鲜,王成明,王诗棋,王家君</t>
  </si>
  <si>
    <t>F267758367985586</t>
  </si>
  <si>
    <t>熊贵富</t>
  </si>
  <si>
    <t>熊贵富,费福珍,熊美佳,熊根平</t>
  </si>
  <si>
    <t>F367791819784122</t>
  </si>
  <si>
    <t>张荣才</t>
  </si>
  <si>
    <t>F417277878638879</t>
  </si>
  <si>
    <t>童光兴</t>
  </si>
  <si>
    <t>童光兴,唐登英,童明坤,童琴</t>
  </si>
  <si>
    <t>F494784426507984</t>
  </si>
  <si>
    <t>杨淑芳</t>
  </si>
  <si>
    <t>F494790601797954</t>
  </si>
  <si>
    <t>邱世贵</t>
  </si>
  <si>
    <t>邱世贵,曹代凤,邱雪梅</t>
  </si>
  <si>
    <t>F520567297247957</t>
  </si>
  <si>
    <t>张立清</t>
  </si>
  <si>
    <t>杨选珍,张兰琼,何汶霞,王钰灵,张立清</t>
  </si>
  <si>
    <t>F520749112327955</t>
  </si>
  <si>
    <t>魏德英</t>
  </si>
  <si>
    <t>F573285815640773</t>
  </si>
  <si>
    <t>李思妍</t>
  </si>
  <si>
    <t>F573288346748027</t>
  </si>
  <si>
    <t>邓乐仲</t>
  </si>
  <si>
    <t>万淑英,邓万勇,邓乐仲</t>
  </si>
  <si>
    <t>F573298210526987</t>
  </si>
  <si>
    <t>王正同</t>
  </si>
  <si>
    <t>F623535875960798</t>
  </si>
  <si>
    <t>杨道贵</t>
  </si>
  <si>
    <t>袁成珍,杨汶菡,杨艺浩,杨选云,杨道贵</t>
  </si>
  <si>
    <t>F896113704381077</t>
  </si>
  <si>
    <t>黄月洪</t>
  </si>
  <si>
    <t>黄月洪,黄一钊</t>
  </si>
  <si>
    <t>F947388821293170</t>
  </si>
  <si>
    <t>文弟相</t>
  </si>
  <si>
    <t>文弟相,罗兴秀</t>
  </si>
  <si>
    <t>F949982118245767</t>
  </si>
  <si>
    <t>邱秀明</t>
  </si>
  <si>
    <t>邱秀明,王孟佳,陈科群,王正金</t>
  </si>
  <si>
    <t>F949984462777202</t>
  </si>
  <si>
    <t>罗天荣</t>
  </si>
  <si>
    <t>罗强,罗天荣,罗小青</t>
  </si>
  <si>
    <t>F950012824808306</t>
  </si>
  <si>
    <t>雷斌</t>
  </si>
  <si>
    <t>雷源,雷斌</t>
  </si>
  <si>
    <t>F950012894651967</t>
  </si>
  <si>
    <t>胡贤芝</t>
  </si>
  <si>
    <t>F950013612776960</t>
  </si>
  <si>
    <t>霍乃珍</t>
  </si>
  <si>
    <t>F950014910589662</t>
  </si>
  <si>
    <t>罗天昌</t>
  </si>
  <si>
    <t>罗天昌,罗景裕,罗根</t>
  </si>
  <si>
    <t>F950016667152138</t>
  </si>
  <si>
    <t>张启文</t>
  </si>
  <si>
    <t>F950022779339690</t>
  </si>
  <si>
    <t>王愧伟</t>
  </si>
  <si>
    <t>车桂虹,车骏玛珏,王愧伟,王堂发,王树芳,罗天秀,潘福芝,车膳榕</t>
  </si>
  <si>
    <t>F950024433401895</t>
  </si>
  <si>
    <t>罗天珍</t>
  </si>
  <si>
    <t>罗天珍,费荣刚,费雅铜,费昌俊,陆春香</t>
  </si>
  <si>
    <t>F950025082464134</t>
  </si>
  <si>
    <t>樊长友</t>
  </si>
  <si>
    <t>樊正全,刘远秀,樊永零,杨悦希,邹龙珍,樊长友</t>
  </si>
  <si>
    <t>F950025268246187</t>
  </si>
  <si>
    <t>向应凤</t>
  </si>
  <si>
    <t>向应凤,杨光梅</t>
  </si>
  <si>
    <t>F950026144339771</t>
  </si>
  <si>
    <t>熊德兵</t>
  </si>
  <si>
    <t>F950026216839505</t>
  </si>
  <si>
    <t>杨其兵</t>
  </si>
  <si>
    <t>F950026665745578</t>
  </si>
  <si>
    <t>宋进芝</t>
  </si>
  <si>
    <t>宋进芝,狄思荣</t>
  </si>
  <si>
    <t>F950027207151719</t>
  </si>
  <si>
    <t>赵朝江</t>
  </si>
  <si>
    <t>陈凤珍,赵朝江</t>
  </si>
  <si>
    <t>F950028150432983</t>
  </si>
  <si>
    <t>彭国香</t>
  </si>
  <si>
    <t>王堂兵,王槐甫,彭国香,王堂军</t>
  </si>
  <si>
    <t>F950028498245841</t>
  </si>
  <si>
    <t>王正林</t>
  </si>
  <si>
    <t>王青燕,王正林</t>
  </si>
  <si>
    <t>F950028533870472</t>
  </si>
  <si>
    <t>罗天全</t>
  </si>
  <si>
    <t>F950029113714234</t>
  </si>
  <si>
    <t>苟月平</t>
  </si>
  <si>
    <t>陈晓仙,苟月平</t>
  </si>
  <si>
    <t>F950031836839688</t>
  </si>
  <si>
    <t>周光贵</t>
  </si>
  <si>
    <t>邹朝纲,李科琼,周光贵</t>
  </si>
  <si>
    <t>F950032492777566</t>
  </si>
  <si>
    <t>巫长波</t>
  </si>
  <si>
    <t>王太秀,巫长波,张诗雨,谢小英,张梅渝</t>
  </si>
  <si>
    <t>F950032709026819</t>
  </si>
  <si>
    <t>杨甲山</t>
  </si>
  <si>
    <t>杨晓晓,杨丽,杨甲山,杨宣焱</t>
  </si>
  <si>
    <t>F950033128089623</t>
  </si>
  <si>
    <t>朱高银</t>
  </si>
  <si>
    <t>F950033970433226</t>
  </si>
  <si>
    <t>邹治红</t>
  </si>
  <si>
    <t>邹治红,王碧强,王俊,唐莉</t>
  </si>
  <si>
    <t>F950034521526994</t>
  </si>
  <si>
    <t>杨其富</t>
  </si>
  <si>
    <t>杨其富,罗自才,罗天湘</t>
  </si>
  <si>
    <t>F950034563402107</t>
  </si>
  <si>
    <t>胡太红</t>
  </si>
  <si>
    <t>胡太明,胡太红</t>
  </si>
  <si>
    <t>F950035760120602</t>
  </si>
  <si>
    <t>狄世友</t>
  </si>
  <si>
    <t>杨天凤,狄世友</t>
  </si>
  <si>
    <t>F950036791527113</t>
  </si>
  <si>
    <t>陈艳</t>
  </si>
  <si>
    <t>邹晓凤,邹武秋,陈艳,杨玉珍,邹武虹,邹涛宇,邹开贵,邹武椿,邹天清</t>
  </si>
  <si>
    <t>F950037863714708</t>
  </si>
  <si>
    <t>狄世珍</t>
  </si>
  <si>
    <t>F950038740276879</t>
  </si>
  <si>
    <t>狄思洪</t>
  </si>
  <si>
    <t>狄思洪,狄佳骏,狄碧玉</t>
  </si>
  <si>
    <t>F950038884808593</t>
  </si>
  <si>
    <t>雷业刚</t>
  </si>
  <si>
    <t>唐品富,雷业刚</t>
  </si>
  <si>
    <t>F950039163870815</t>
  </si>
  <si>
    <t>胡伯成</t>
  </si>
  <si>
    <t>胡闲志,胡启斌,胡伯成</t>
  </si>
  <si>
    <t>F950040647620617</t>
  </si>
  <si>
    <t>罗天均</t>
  </si>
  <si>
    <t>张义芝,罗天均,罗兴发</t>
  </si>
  <si>
    <t>F950041918089482</t>
  </si>
  <si>
    <t>何永芝</t>
  </si>
  <si>
    <t>徐景富,徐崇容,何永芝</t>
  </si>
  <si>
    <t>F950042629964100</t>
  </si>
  <si>
    <t>宁永治</t>
  </si>
  <si>
    <t>宁燕,宁永治</t>
  </si>
  <si>
    <t>F950043212308126</t>
  </si>
  <si>
    <t>邹国银</t>
  </si>
  <si>
    <t>邹国银,邹佩芸,邹雨辰,曹義,万书英,邹治雄</t>
  </si>
  <si>
    <t>F950044668713864</t>
  </si>
  <si>
    <t>杨甲柱</t>
  </si>
  <si>
    <t>杨甲柱,张桂珍,杨宣连</t>
  </si>
  <si>
    <t>F953099646464150</t>
  </si>
  <si>
    <t>胡洪廷</t>
  </si>
  <si>
    <t>胡洪廷,张大芝</t>
  </si>
  <si>
    <t>F954101288870463</t>
  </si>
  <si>
    <t>狄思平</t>
  </si>
  <si>
    <t>狄思平,狄美宏,李万玉</t>
  </si>
  <si>
    <t>F972408517876309</t>
  </si>
  <si>
    <t>邹龙生</t>
  </si>
  <si>
    <t>F006604531995660</t>
  </si>
  <si>
    <t>红星村委会</t>
  </si>
  <si>
    <t>徐洪贵</t>
  </si>
  <si>
    <t>徐洪贵,徐光林</t>
  </si>
  <si>
    <t>F225638142023270</t>
  </si>
  <si>
    <t>唐连玉</t>
  </si>
  <si>
    <t>F253975783972845</t>
  </si>
  <si>
    <t>杨寿江</t>
  </si>
  <si>
    <t>F364741315251957</t>
  </si>
  <si>
    <t>李华蓉</t>
  </si>
  <si>
    <t>李华蓉,罗瑞娥</t>
  </si>
  <si>
    <t>F573529367918243</t>
  </si>
  <si>
    <t>胡克友</t>
  </si>
  <si>
    <t>胡克友,胡平,陈帮玉</t>
  </si>
  <si>
    <t>F729122283784849</t>
  </si>
  <si>
    <t>温明贵</t>
  </si>
  <si>
    <t>F759615703053917</t>
  </si>
  <si>
    <t>王正兴</t>
  </si>
  <si>
    <t>F861924642762905</t>
  </si>
  <si>
    <t>黄忠荣</t>
  </si>
  <si>
    <t>F950009700276539</t>
  </si>
  <si>
    <t>夏华银</t>
  </si>
  <si>
    <t>夏平安,陆全珍,夏华银</t>
  </si>
  <si>
    <t>F950012836995798</t>
  </si>
  <si>
    <t>王定秀</t>
  </si>
  <si>
    <t>王定秀,陈杰,郑诚,郑雯琦</t>
  </si>
  <si>
    <t>F950012976057970</t>
  </si>
  <si>
    <t>罗长兴</t>
  </si>
  <si>
    <t>曾国香,罗长兴,罗军富,罗浩双,姜引花</t>
  </si>
  <si>
    <t>F950015544808185</t>
  </si>
  <si>
    <t>刘翠珍</t>
  </si>
  <si>
    <t>F950020341840044</t>
  </si>
  <si>
    <t>唐桂芝</t>
  </si>
  <si>
    <t>唐桂芝,陈国友</t>
  </si>
  <si>
    <t>F950022521058113</t>
  </si>
  <si>
    <t>巫良金</t>
  </si>
  <si>
    <t>潘福珍,魏富明,巫长贵,刘润羽,巫良金</t>
  </si>
  <si>
    <t>F950024909183215</t>
  </si>
  <si>
    <t>李龙兴</t>
  </si>
  <si>
    <t>宋园容,李龙兴,李钦霖,李玉尘</t>
  </si>
  <si>
    <t>F950025201682750</t>
  </si>
  <si>
    <t>汤龙海</t>
  </si>
  <si>
    <t>汤敏,汤龙海,吴国秀,汤文明,刘明旭</t>
  </si>
  <si>
    <t>F950025873089036</t>
  </si>
  <si>
    <t>刘德友</t>
  </si>
  <si>
    <t>刘小龙,刘德友,刘文全</t>
  </si>
  <si>
    <t>F950026430745872</t>
  </si>
  <si>
    <t>王德旭</t>
  </si>
  <si>
    <t>王德旭,王泽林</t>
  </si>
  <si>
    <t>F950026905746061</t>
  </si>
  <si>
    <t>夏友桂</t>
  </si>
  <si>
    <t>李清友,夏友桂</t>
  </si>
  <si>
    <t>F950027913558080</t>
  </si>
  <si>
    <t>夏友惠</t>
  </si>
  <si>
    <t>夏友惠,杨霞,杨希,杨全伯</t>
  </si>
  <si>
    <t>F950028058245802</t>
  </si>
  <si>
    <t>邹顺安</t>
  </si>
  <si>
    <t>邹顺安,邹顺和,邹开全</t>
  </si>
  <si>
    <t>F950028229027192</t>
  </si>
  <si>
    <t>胡志才</t>
  </si>
  <si>
    <t>胡志才,马玉珍</t>
  </si>
  <si>
    <t>F950028646996200</t>
  </si>
  <si>
    <t>邵方成</t>
  </si>
  <si>
    <t>张在珍,邵方成</t>
  </si>
  <si>
    <t>F950028745120703</t>
  </si>
  <si>
    <t>陈邦弟</t>
  </si>
  <si>
    <t>王良,陈邦弟,陈昌英,王滢馨,王佳骐</t>
  </si>
  <si>
    <t>F950029969808408</t>
  </si>
  <si>
    <t>宋世珍</t>
  </si>
  <si>
    <t>F950030102932899</t>
  </si>
  <si>
    <t>陈昌亮</t>
  </si>
  <si>
    <t>陈世琼,陈昌亮,朱长容,陈丽娟</t>
  </si>
  <si>
    <t>F950032237620625</t>
  </si>
  <si>
    <t>冯显成</t>
  </si>
  <si>
    <t>F950033064026961</t>
  </si>
  <si>
    <t>吴友财</t>
  </si>
  <si>
    <t>F950033846839383</t>
  </si>
  <si>
    <t>胡春艳</t>
  </si>
  <si>
    <t>胡春艳,胡军,胡志友</t>
  </si>
  <si>
    <t>F950035138245895</t>
  </si>
  <si>
    <t>陈春梅</t>
  </si>
  <si>
    <t>F950035976527632</t>
  </si>
  <si>
    <t>邹元清</t>
  </si>
  <si>
    <t>邹利,邹元清,杨友香</t>
  </si>
  <si>
    <t>F950037961526938</t>
  </si>
  <si>
    <t>杜本正</t>
  </si>
  <si>
    <t>F950038412308307</t>
  </si>
  <si>
    <t>曾孔钊</t>
  </si>
  <si>
    <t>F950038820433247</t>
  </si>
  <si>
    <t>吴仕兴</t>
  </si>
  <si>
    <t>吴羽菲,吴仕兴,宋元惠,吴学洪,吴俊林</t>
  </si>
  <si>
    <t>F950038887620903</t>
  </si>
  <si>
    <t>徐洪明</t>
  </si>
  <si>
    <t>徐洪明,曾国桃,徐雅菲,徐顺文,徐杨情,徐秋梅,王光香</t>
  </si>
  <si>
    <t>F950041221526857</t>
  </si>
  <si>
    <t>胡克刚</t>
  </si>
  <si>
    <t>胡增,胡克刚,胡安强,李达秀,彭富容,胡怡遥,胡安翔</t>
  </si>
  <si>
    <t>F950042268714841</t>
  </si>
  <si>
    <t>杨胜明</t>
  </si>
  <si>
    <t>杨胜富,吴世琴,杨胜明,杨政川</t>
  </si>
  <si>
    <t>F950042337152090</t>
  </si>
  <si>
    <t>郭培友</t>
  </si>
  <si>
    <t>F950042809495980</t>
  </si>
  <si>
    <t>张代文</t>
  </si>
  <si>
    <t>张代文,张丹</t>
  </si>
  <si>
    <t>F950044076058189</t>
  </si>
  <si>
    <t>邹开均</t>
  </si>
  <si>
    <t>邹武权,邹开均</t>
  </si>
  <si>
    <t>F950044307932796</t>
  </si>
  <si>
    <t>曾国太</t>
  </si>
  <si>
    <t>胡其珍,曾国太</t>
  </si>
  <si>
    <t>F995754557470495</t>
  </si>
  <si>
    <t>曾国玉,李欣瑶,李洪,李德友,刘永先</t>
  </si>
  <si>
    <t>F001843776944854</t>
  </si>
  <si>
    <t>石马村委会</t>
  </si>
  <si>
    <t>吴顺金</t>
  </si>
  <si>
    <t>F001851174034149</t>
  </si>
  <si>
    <t>杨寿如</t>
  </si>
  <si>
    <t>F006630917621034</t>
  </si>
  <si>
    <t>杨全云</t>
  </si>
  <si>
    <t>杨全云,杨修顺</t>
  </si>
  <si>
    <t>F017369402678229</t>
  </si>
  <si>
    <t>杨立华</t>
  </si>
  <si>
    <t>李秀珍,杨紫绮,杨立华</t>
  </si>
  <si>
    <t>F257405152409908</t>
  </si>
  <si>
    <t>黄成高</t>
  </si>
  <si>
    <t>吴毅,黄欣怡,黄成高,黄加星</t>
  </si>
  <si>
    <t>F267776662673108</t>
  </si>
  <si>
    <t>杨寿妹</t>
  </si>
  <si>
    <t>F288291831194624</t>
  </si>
  <si>
    <t>赵明秀</t>
  </si>
  <si>
    <t>赵明秀,张先芝,邵方龙</t>
  </si>
  <si>
    <t>F312612138830329</t>
  </si>
  <si>
    <t>肖代国</t>
  </si>
  <si>
    <t>肖代国,肖午银,杜永莲</t>
  </si>
  <si>
    <t>F338299625929783</t>
  </si>
  <si>
    <t>吴万波</t>
  </si>
  <si>
    <t>吴代平,扎西顿珠,吴秋玥,朱国芳,吴万波,张艳</t>
  </si>
  <si>
    <t>F466993294338176</t>
  </si>
  <si>
    <t>蒋浩书</t>
  </si>
  <si>
    <t>蒋浩书,蒋佳意,蒋竺蓓,童恩琼,蒋羽洁</t>
  </si>
  <si>
    <t>F684889967400723</t>
  </si>
  <si>
    <t>刘仕忠</t>
  </si>
  <si>
    <t>杨金花,刘仕忠,刘兵</t>
  </si>
  <si>
    <t>F729141218637779</t>
  </si>
  <si>
    <t>吕泽超</t>
  </si>
  <si>
    <t>吕万强,吕万慧,吕万兵,吴慧祯,吕万明,吕泽超,吕万平</t>
  </si>
  <si>
    <t>F729149507606109</t>
  </si>
  <si>
    <t>王燕辉</t>
  </si>
  <si>
    <t>F763495031630516</t>
  </si>
  <si>
    <t>蒋孔财</t>
  </si>
  <si>
    <t>蒋孔财,邱远香,蒋世林</t>
  </si>
  <si>
    <t>F763498627411717</t>
  </si>
  <si>
    <t>杨显文</t>
  </si>
  <si>
    <t>杨显文,胡其香</t>
  </si>
  <si>
    <t>F949982259651839</t>
  </si>
  <si>
    <t>蔡泽华</t>
  </si>
  <si>
    <t>杨寿秀,蔡泽华</t>
  </si>
  <si>
    <t>F949984048402122</t>
  </si>
  <si>
    <t>王良金</t>
  </si>
  <si>
    <t>王良金,王光辉,戢廷珍,王岚叶,郭丽君</t>
  </si>
  <si>
    <t>F949986091214809</t>
  </si>
  <si>
    <t>张淑明</t>
  </si>
  <si>
    <t>F950009741995394</t>
  </si>
  <si>
    <t>陈安全</t>
  </si>
  <si>
    <t>F950011350276702</t>
  </si>
  <si>
    <t>吕大富</t>
  </si>
  <si>
    <t>吕仕文,吕仕兵,吕大富,吕承霖</t>
  </si>
  <si>
    <t>F950011531058347</t>
  </si>
  <si>
    <t>杜学普</t>
  </si>
  <si>
    <t>F950013094495963</t>
  </si>
  <si>
    <t>陈召芬</t>
  </si>
  <si>
    <t>F950013196526972</t>
  </si>
  <si>
    <t>罗代万</t>
  </si>
  <si>
    <t>F950013296370621</t>
  </si>
  <si>
    <t>黄树珍</t>
  </si>
  <si>
    <t>F950013515120853</t>
  </si>
  <si>
    <t>张力培</t>
  </si>
  <si>
    <t>杨涌林,张力培</t>
  </si>
  <si>
    <t>F950013737776900</t>
  </si>
  <si>
    <t>杨登渠</t>
  </si>
  <si>
    <t>杨琼英,杨登渠</t>
  </si>
  <si>
    <t>F950014475902136</t>
  </si>
  <si>
    <t>F950014860901718</t>
  </si>
  <si>
    <t>杜正荣</t>
  </si>
  <si>
    <t>F950015005277094</t>
  </si>
  <si>
    <t>赵朝友</t>
  </si>
  <si>
    <t>赵朝友,赵德洋</t>
  </si>
  <si>
    <t>F950016792620410</t>
  </si>
  <si>
    <t>王淑君</t>
  </si>
  <si>
    <t>F950018562307916</t>
  </si>
  <si>
    <t>陈正英</t>
  </si>
  <si>
    <t>杨铭,吴易洋,陈正英,吴训华</t>
  </si>
  <si>
    <t>F950018608557867</t>
  </si>
  <si>
    <t>李尚全</t>
  </si>
  <si>
    <t>唐玉兴,李想,李尚全</t>
  </si>
  <si>
    <t>F950018613714448</t>
  </si>
  <si>
    <t>F950018755432957</t>
  </si>
  <si>
    <t>黄仲贵</t>
  </si>
  <si>
    <t>黄肖满,黄肖杰,肖文秀,黄仲贵,黄肖翼</t>
  </si>
  <si>
    <t>F950020619495468</t>
  </si>
  <si>
    <t>杨寿旭</t>
  </si>
  <si>
    <t>杨寿旭,夏先芝</t>
  </si>
  <si>
    <t>F950020754808008</t>
  </si>
  <si>
    <t>赵联才</t>
  </si>
  <si>
    <t>F950025159652144</t>
  </si>
  <si>
    <t>杨寿清</t>
  </si>
  <si>
    <t>F950025211214324</t>
  </si>
  <si>
    <t>刘世范</t>
  </si>
  <si>
    <t>杜旭华,董桂珍,刘鑫,刘世才,刘世范,刘显根,刘婷,刘佳</t>
  </si>
  <si>
    <t>F950025805277070</t>
  </si>
  <si>
    <t>杨志刚</t>
  </si>
  <si>
    <t>F950025933714174</t>
  </si>
  <si>
    <t>王逢有</t>
  </si>
  <si>
    <t>F950025942464321</t>
  </si>
  <si>
    <t>李世强</t>
  </si>
  <si>
    <t>李舒函,邹永碧,李世强,李均鑫</t>
  </si>
  <si>
    <t>F950026123245854</t>
  </si>
  <si>
    <t>刘方桂</t>
  </si>
  <si>
    <t>F950026135276837</t>
  </si>
  <si>
    <t>赵魁珍</t>
  </si>
  <si>
    <t>F950026234026829</t>
  </si>
  <si>
    <t>杨寿双</t>
  </si>
  <si>
    <t>余孝全,余德洪,余美,杨寿双</t>
  </si>
  <si>
    <t>F950026313245467</t>
  </si>
  <si>
    <t>何元海</t>
  </si>
  <si>
    <t>何元海,何国</t>
  </si>
  <si>
    <t>F950026377464509</t>
  </si>
  <si>
    <t>杨寿康</t>
  </si>
  <si>
    <t>周正友,杨寿康</t>
  </si>
  <si>
    <t>F950026736995495</t>
  </si>
  <si>
    <t>胡明珍</t>
  </si>
  <si>
    <t>F950027018245339</t>
  </si>
  <si>
    <t>张再旭</t>
  </si>
  <si>
    <t>F950027937620595</t>
  </si>
  <si>
    <t>周大堂</t>
  </si>
  <si>
    <t>周芳梅,周大堂</t>
  </si>
  <si>
    <t>F950028832151891</t>
  </si>
  <si>
    <t>何培芝</t>
  </si>
  <si>
    <t>F950029154339993</t>
  </si>
  <si>
    <t>李树权</t>
  </si>
  <si>
    <t>吴艺扬,李树权,吴学斌,吴雨萌,张莉</t>
  </si>
  <si>
    <t>F950030406995887</t>
  </si>
  <si>
    <t>吴平友</t>
  </si>
  <si>
    <t>钟延秀,吴志琴,吴平友,吴志慧,吴志元,吴志蓉,吴志林,吴志雄</t>
  </si>
  <si>
    <t>F950030710589321</t>
  </si>
  <si>
    <t>王祖全</t>
  </si>
  <si>
    <t>陈秀芝,王祖文,王祖全,王兵</t>
  </si>
  <si>
    <t>F950031033714541</t>
  </si>
  <si>
    <t>张兴才</t>
  </si>
  <si>
    <t>张兴才,张峻嘉,杨寿珍,李天容,张瑞梅</t>
  </si>
  <si>
    <t>F950031710745730</t>
  </si>
  <si>
    <t>张大月</t>
  </si>
  <si>
    <t>F950032454027077</t>
  </si>
  <si>
    <t>付代有</t>
  </si>
  <si>
    <t>付代有,付军,付小红</t>
  </si>
  <si>
    <t>F950032964964365</t>
  </si>
  <si>
    <t>F950033920745583</t>
  </si>
  <si>
    <t>雷显花</t>
  </si>
  <si>
    <t>刘世珍,王光娣,雷显花</t>
  </si>
  <si>
    <t>F950033990745367</t>
  </si>
  <si>
    <t>衡正洪</t>
  </si>
  <si>
    <t>衡正洪,樊长英,衡洪君</t>
  </si>
  <si>
    <t>F950034396370759</t>
  </si>
  <si>
    <t>胡其福</t>
  </si>
  <si>
    <t>F950034878870349</t>
  </si>
  <si>
    <t>杨寿强</t>
  </si>
  <si>
    <t>林正秀,杨寿强</t>
  </si>
  <si>
    <t>F950036256839453</t>
  </si>
  <si>
    <t>杨婷</t>
  </si>
  <si>
    <t>F950036438245383</t>
  </si>
  <si>
    <t>杨寿宽</t>
  </si>
  <si>
    <t>杨寿宽,杨全刚,舒从珍</t>
  </si>
  <si>
    <t>F950036679495946</t>
  </si>
  <si>
    <t>王银章</t>
  </si>
  <si>
    <t>王银章,王梓亦,王天华,杜正凤,欧雅丽,王梓铭</t>
  </si>
  <si>
    <t>F950036847620790</t>
  </si>
  <si>
    <t>温光珍</t>
  </si>
  <si>
    <t>F950037964807873</t>
  </si>
  <si>
    <t>张再银</t>
  </si>
  <si>
    <t>F950038219808126</t>
  </si>
  <si>
    <t>陈明刚</t>
  </si>
  <si>
    <t>陈明刚,陈丽,李容山,陈雄</t>
  </si>
  <si>
    <t>F950038682308300</t>
  </si>
  <si>
    <t>陈谢彬</t>
  </si>
  <si>
    <t>陈俞汝,杨梦霞,陈佳洁,赵玉海,陈谢彬,陈贤超,刘代芝</t>
  </si>
  <si>
    <t>F950038814495542</t>
  </si>
  <si>
    <t>付代全</t>
  </si>
  <si>
    <t>郭洪强,付兵,付代全</t>
  </si>
  <si>
    <t>F950038859651937</t>
  </si>
  <si>
    <t>刘忠友</t>
  </si>
  <si>
    <t>F950039019183209</t>
  </si>
  <si>
    <t>张国利</t>
  </si>
  <si>
    <t>张国利,张涛,张超,张正平</t>
  </si>
  <si>
    <t>F950039091214681</t>
  </si>
  <si>
    <t>陈谢福</t>
  </si>
  <si>
    <t>F950039243089362</t>
  </si>
  <si>
    <t>黄仲兵</t>
  </si>
  <si>
    <t>谢文秀,龙海雁,黄九芳,黄仲兵</t>
  </si>
  <si>
    <t>F950039939652496</t>
  </si>
  <si>
    <t>杜成珍</t>
  </si>
  <si>
    <t>杜成珍,余德宽</t>
  </si>
  <si>
    <t>F950039964808222</t>
  </si>
  <si>
    <t>杜正富</t>
  </si>
  <si>
    <t>F950041050901934</t>
  </si>
  <si>
    <t>郭洪玉</t>
  </si>
  <si>
    <t>郭洪玉,陈贤刚,陈怡宇,陈龙</t>
  </si>
  <si>
    <t>F950041137620685</t>
  </si>
  <si>
    <t>胡通友</t>
  </si>
  <si>
    <t>胡景浩,王秀珍,胡通彬,胡通友,胡禹同</t>
  </si>
  <si>
    <t>F950042089964672</t>
  </si>
  <si>
    <t>邓秀英,胡其红,胡蕊佳</t>
  </si>
  <si>
    <t>F950042664339390</t>
  </si>
  <si>
    <t>聂寿全</t>
  </si>
  <si>
    <t>胡世东,胡岭,聂寿全</t>
  </si>
  <si>
    <t>F950043005433198</t>
  </si>
  <si>
    <t>虞照林</t>
  </si>
  <si>
    <t>F950043230589972</t>
  </si>
  <si>
    <t>骆朝香</t>
  </si>
  <si>
    <t>F950044101995539</t>
  </si>
  <si>
    <t>王良弼</t>
  </si>
  <si>
    <t>王志彭,王良弼</t>
  </si>
  <si>
    <t>F950044104651947</t>
  </si>
  <si>
    <t>杨兵</t>
  </si>
  <si>
    <t>赵联芝,杨兵</t>
  </si>
  <si>
    <t>F950044491838885</t>
  </si>
  <si>
    <t>陈谢参</t>
  </si>
  <si>
    <t>陈谢参,陈梦玲,杨全凤</t>
  </si>
  <si>
    <t>F950044867464901</t>
  </si>
  <si>
    <t>罗朝俊</t>
  </si>
  <si>
    <t>F950044873245611</t>
  </si>
  <si>
    <t>杨寿安</t>
  </si>
  <si>
    <t>杨全富,杨寿安,朱秀珍,杨竞权</t>
  </si>
  <si>
    <t>F975746682376059</t>
  </si>
  <si>
    <t>罗平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</si>
</sst>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</font>
    <font>
      <b/>
      <sz val="20"/>
      <color indexed="8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2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4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7" applyNumberFormat="0" applyAlignment="0" applyProtection="0">
      <alignment vertical="center"/>
    </xf>
    <xf numFmtId="0" fontId="12" fillId="4" borderId="8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5" borderId="9" applyNumberFormat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0" fillId="0" borderId="0">
      <alignment vertical="center"/>
    </xf>
    <xf numFmtId="9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2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1" fontId="22" fillId="0" borderId="0" applyFont="0" applyFill="0" applyBorder="0" applyAlignment="0" applyProtection="0"/>
  </cellStyleXfs>
  <cellXfs count="7">
    <xf numFmtId="0" fontId="0" fillId="0" borderId="0" xfId="49" applyAlignment="1">
      <alignment vertical="center"/>
    </xf>
    <xf numFmtId="0" fontId="1" fillId="0" borderId="0" xfId="49" applyFont="1" applyAlignment="1">
      <alignment horizontal="center" vertical="center"/>
    </xf>
    <xf numFmtId="0" fontId="0" fillId="0" borderId="0" xfId="49" applyAlignment="1">
      <alignment horizontal="center" vertical="center"/>
    </xf>
    <xf numFmtId="0" fontId="1" fillId="0" borderId="1" xfId="49" applyFont="1" applyBorder="1" applyAlignment="1">
      <alignment horizontal="center" vertical="center" wrapText="1"/>
    </xf>
    <xf numFmtId="0" fontId="1" fillId="0" borderId="2" xfId="49" applyFont="1" applyBorder="1" applyAlignment="1">
      <alignment horizontal="center" vertical="center" wrapText="1"/>
    </xf>
    <xf numFmtId="0" fontId="0" fillId="0" borderId="3" xfId="49" applyBorder="1" applyAlignment="1">
      <alignment horizontal="center" vertical="center" wrapText="1"/>
    </xf>
    <xf numFmtId="49" fontId="0" fillId="0" borderId="3" xfId="49" applyNumberFormat="1" applyBorder="1" applyAlignment="1">
      <alignment horizontal="center" vertical="center" wrapText="1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  <cellStyle name="Percent" xfId="50"/>
    <cellStyle name="Currency" xfId="51"/>
    <cellStyle name="Currency [0]" xfId="52"/>
    <cellStyle name="Comma" xfId="53"/>
    <cellStyle name="Comma [0]" xfId="54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6678"/>
  <sheetViews>
    <sheetView showGridLines="0" tabSelected="1" workbookViewId="0">
      <selection activeCell="AC6" sqref="AC6"/>
    </sheetView>
  </sheetViews>
  <sheetFormatPr defaultColWidth="3.625" defaultRowHeight="13.5"/>
  <cols>
    <col min="1" max="1" width="3.625" customWidth="1"/>
    <col min="2" max="2" width="19.75" customWidth="1"/>
    <col min="3" max="4" width="8.5" customWidth="1"/>
    <col min="5" max="5" width="12" customWidth="1"/>
    <col min="6" max="6" width="10" customWidth="1"/>
    <col min="7" max="7" width="10.375" customWidth="1"/>
    <col min="8" max="8" width="6.875" customWidth="1"/>
    <col min="9" max="9" width="21.5" customWidth="1"/>
    <col min="10" max="10" width="8.5" customWidth="1"/>
    <col min="11" max="16384" width="3.625" customWidth="1"/>
  </cols>
  <sheetData>
    <row r="1" s="1" customFormat="1" ht="25.5" spans="1:10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</row>
    <row r="2" s="2" customFormat="1" ht="40.5" spans="1:10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</row>
    <row r="3" s="2" customFormat="1" spans="1:10">
      <c r="A3" s="6">
        <f>1</f>
        <v>1</v>
      </c>
      <c r="B3" s="6" t="s">
        <v>11</v>
      </c>
      <c r="C3" s="6" t="s">
        <v>12</v>
      </c>
      <c r="D3" s="6" t="s">
        <v>13</v>
      </c>
      <c r="E3" s="6" t="s">
        <v>14</v>
      </c>
      <c r="F3" s="6" t="s">
        <v>15</v>
      </c>
      <c r="G3" s="6" t="s">
        <v>16</v>
      </c>
      <c r="H3" s="5">
        <v>3</v>
      </c>
      <c r="I3" s="6" t="s">
        <v>17</v>
      </c>
      <c r="J3" s="5">
        <v>880</v>
      </c>
    </row>
    <row r="4" s="2" customFormat="1" ht="27" spans="1:10">
      <c r="A4" s="6">
        <f>2</f>
        <v>2</v>
      </c>
      <c r="B4" s="6" t="s">
        <v>18</v>
      </c>
      <c r="C4" s="6" t="s">
        <v>12</v>
      </c>
      <c r="D4" s="6" t="s">
        <v>13</v>
      </c>
      <c r="E4" s="6" t="s">
        <v>14</v>
      </c>
      <c r="F4" s="6" t="s">
        <v>19</v>
      </c>
      <c r="G4" s="6" t="s">
        <v>16</v>
      </c>
      <c r="H4" s="5">
        <v>6</v>
      </c>
      <c r="I4" s="6" t="s">
        <v>20</v>
      </c>
      <c r="J4" s="5">
        <v>2060</v>
      </c>
    </row>
    <row r="5" s="2" customFormat="1" spans="1:10">
      <c r="A5" s="6">
        <f>3</f>
        <v>3</v>
      </c>
      <c r="B5" s="6" t="s">
        <v>21</v>
      </c>
      <c r="C5" s="6" t="s">
        <v>12</v>
      </c>
      <c r="D5" s="6" t="s">
        <v>13</v>
      </c>
      <c r="E5" s="6" t="s">
        <v>14</v>
      </c>
      <c r="F5" s="6" t="s">
        <v>22</v>
      </c>
      <c r="G5" s="6" t="s">
        <v>16</v>
      </c>
      <c r="H5" s="5">
        <v>3</v>
      </c>
      <c r="I5" s="6" t="s">
        <v>23</v>
      </c>
      <c r="J5" s="5">
        <v>1180</v>
      </c>
    </row>
    <row r="6" s="2" customFormat="1" spans="1:10">
      <c r="A6" s="6">
        <f>4</f>
        <v>4</v>
      </c>
      <c r="B6" s="6" t="s">
        <v>24</v>
      </c>
      <c r="C6" s="6" t="s">
        <v>12</v>
      </c>
      <c r="D6" s="6" t="s">
        <v>13</v>
      </c>
      <c r="E6" s="6" t="s">
        <v>14</v>
      </c>
      <c r="F6" s="6" t="s">
        <v>25</v>
      </c>
      <c r="G6" s="6" t="s">
        <v>16</v>
      </c>
      <c r="H6" s="5">
        <v>2</v>
      </c>
      <c r="I6" s="6" t="s">
        <v>26</v>
      </c>
      <c r="J6" s="5">
        <v>720</v>
      </c>
    </row>
    <row r="7" s="2" customFormat="1" ht="27" spans="1:10">
      <c r="A7" s="6">
        <f>5</f>
        <v>5</v>
      </c>
      <c r="B7" s="6" t="s">
        <v>27</v>
      </c>
      <c r="C7" s="6" t="s">
        <v>12</v>
      </c>
      <c r="D7" s="6" t="s">
        <v>13</v>
      </c>
      <c r="E7" s="6" t="s">
        <v>14</v>
      </c>
      <c r="F7" s="6" t="s">
        <v>28</v>
      </c>
      <c r="G7" s="6" t="s">
        <v>16</v>
      </c>
      <c r="H7" s="5">
        <v>4</v>
      </c>
      <c r="I7" s="6" t="s">
        <v>29</v>
      </c>
      <c r="J7" s="5">
        <v>1240</v>
      </c>
    </row>
    <row r="8" s="2" customFormat="1" spans="1:10">
      <c r="A8" s="6">
        <f>6</f>
        <v>6</v>
      </c>
      <c r="B8" s="6" t="s">
        <v>30</v>
      </c>
      <c r="C8" s="6" t="s">
        <v>12</v>
      </c>
      <c r="D8" s="6" t="s">
        <v>13</v>
      </c>
      <c r="E8" s="6" t="s">
        <v>14</v>
      </c>
      <c r="F8" s="6" t="s">
        <v>31</v>
      </c>
      <c r="G8" s="6" t="s">
        <v>16</v>
      </c>
      <c r="H8" s="5">
        <v>3</v>
      </c>
      <c r="I8" s="6" t="s">
        <v>32</v>
      </c>
      <c r="J8" s="5">
        <v>1140</v>
      </c>
    </row>
    <row r="9" s="2" customFormat="1" spans="1:10">
      <c r="A9" s="6">
        <f>7</f>
        <v>7</v>
      </c>
      <c r="B9" s="6" t="s">
        <v>33</v>
      </c>
      <c r="C9" s="6" t="s">
        <v>12</v>
      </c>
      <c r="D9" s="6" t="s">
        <v>13</v>
      </c>
      <c r="E9" s="6" t="s">
        <v>14</v>
      </c>
      <c r="F9" s="6" t="s">
        <v>34</v>
      </c>
      <c r="G9" s="6" t="s">
        <v>16</v>
      </c>
      <c r="H9" s="5">
        <v>3</v>
      </c>
      <c r="I9" s="6" t="s">
        <v>35</v>
      </c>
      <c r="J9" s="5">
        <v>1160</v>
      </c>
    </row>
    <row r="10" s="2" customFormat="1" spans="1:10">
      <c r="A10" s="6">
        <f>8</f>
        <v>8</v>
      </c>
      <c r="B10" s="6" t="s">
        <v>36</v>
      </c>
      <c r="C10" s="6" t="s">
        <v>12</v>
      </c>
      <c r="D10" s="6" t="s">
        <v>13</v>
      </c>
      <c r="E10" s="6" t="s">
        <v>14</v>
      </c>
      <c r="F10" s="6" t="s">
        <v>37</v>
      </c>
      <c r="G10" s="6" t="s">
        <v>16</v>
      </c>
      <c r="H10" s="5">
        <v>1</v>
      </c>
      <c r="I10" s="6" t="s">
        <v>37</v>
      </c>
      <c r="J10" s="5">
        <v>540</v>
      </c>
    </row>
    <row r="11" s="2" customFormat="1" spans="1:10">
      <c r="A11" s="6">
        <f>9</f>
        <v>9</v>
      </c>
      <c r="B11" s="6" t="s">
        <v>38</v>
      </c>
      <c r="C11" s="6" t="s">
        <v>12</v>
      </c>
      <c r="D11" s="6" t="s">
        <v>13</v>
      </c>
      <c r="E11" s="6" t="s">
        <v>14</v>
      </c>
      <c r="F11" s="6" t="s">
        <v>39</v>
      </c>
      <c r="G11" s="6" t="s">
        <v>16</v>
      </c>
      <c r="H11" s="5">
        <v>1</v>
      </c>
      <c r="I11" s="6" t="s">
        <v>39</v>
      </c>
      <c r="J11" s="5">
        <v>253</v>
      </c>
    </row>
    <row r="12" s="2" customFormat="1" spans="1:10">
      <c r="A12" s="6">
        <f>10</f>
        <v>10</v>
      </c>
      <c r="B12" s="6" t="s">
        <v>40</v>
      </c>
      <c r="C12" s="6" t="s">
        <v>12</v>
      </c>
      <c r="D12" s="6" t="s">
        <v>13</v>
      </c>
      <c r="E12" s="6" t="s">
        <v>14</v>
      </c>
      <c r="F12" s="6" t="s">
        <v>41</v>
      </c>
      <c r="G12" s="6" t="s">
        <v>16</v>
      </c>
      <c r="H12" s="5">
        <v>1</v>
      </c>
      <c r="I12" s="6" t="s">
        <v>41</v>
      </c>
      <c r="J12" s="5">
        <v>540</v>
      </c>
    </row>
    <row r="13" s="2" customFormat="1" ht="27" spans="1:10">
      <c r="A13" s="6">
        <f>11</f>
        <v>11</v>
      </c>
      <c r="B13" s="6" t="s">
        <v>42</v>
      </c>
      <c r="C13" s="6" t="s">
        <v>12</v>
      </c>
      <c r="D13" s="6" t="s">
        <v>13</v>
      </c>
      <c r="E13" s="6" t="s">
        <v>14</v>
      </c>
      <c r="F13" s="6" t="s">
        <v>43</v>
      </c>
      <c r="G13" s="6" t="s">
        <v>16</v>
      </c>
      <c r="H13" s="5">
        <v>5</v>
      </c>
      <c r="I13" s="6" t="s">
        <v>44</v>
      </c>
      <c r="J13" s="5">
        <v>2000</v>
      </c>
    </row>
    <row r="14" s="2" customFormat="1" spans="1:10">
      <c r="A14" s="6">
        <f>12</f>
        <v>12</v>
      </c>
      <c r="B14" s="6" t="s">
        <v>45</v>
      </c>
      <c r="C14" s="6" t="s">
        <v>12</v>
      </c>
      <c r="D14" s="6" t="s">
        <v>13</v>
      </c>
      <c r="E14" s="6" t="s">
        <v>14</v>
      </c>
      <c r="F14" s="6" t="s">
        <v>46</v>
      </c>
      <c r="G14" s="6" t="s">
        <v>16</v>
      </c>
      <c r="H14" s="5">
        <v>1</v>
      </c>
      <c r="I14" s="6" t="s">
        <v>46</v>
      </c>
      <c r="J14" s="5">
        <v>323</v>
      </c>
    </row>
    <row r="15" s="2" customFormat="1" spans="1:10">
      <c r="A15" s="6">
        <f>13</f>
        <v>13</v>
      </c>
      <c r="B15" s="6" t="s">
        <v>47</v>
      </c>
      <c r="C15" s="6" t="s">
        <v>12</v>
      </c>
      <c r="D15" s="6" t="s">
        <v>13</v>
      </c>
      <c r="E15" s="6" t="s">
        <v>14</v>
      </c>
      <c r="F15" s="6" t="s">
        <v>48</v>
      </c>
      <c r="G15" s="6" t="s">
        <v>16</v>
      </c>
      <c r="H15" s="5">
        <v>1</v>
      </c>
      <c r="I15" s="6" t="s">
        <v>48</v>
      </c>
      <c r="J15" s="5">
        <v>345</v>
      </c>
    </row>
    <row r="16" s="2" customFormat="1" spans="1:10">
      <c r="A16" s="6">
        <f>14</f>
        <v>14</v>
      </c>
      <c r="B16" s="6" t="s">
        <v>49</v>
      </c>
      <c r="C16" s="6" t="s">
        <v>12</v>
      </c>
      <c r="D16" s="6" t="s">
        <v>13</v>
      </c>
      <c r="E16" s="6" t="s">
        <v>14</v>
      </c>
      <c r="F16" s="6" t="s">
        <v>50</v>
      </c>
      <c r="G16" s="6" t="s">
        <v>16</v>
      </c>
      <c r="H16" s="5">
        <v>1</v>
      </c>
      <c r="I16" s="6" t="s">
        <v>50</v>
      </c>
      <c r="J16" s="5">
        <v>540</v>
      </c>
    </row>
    <row r="17" s="2" customFormat="1" spans="1:10">
      <c r="A17" s="6">
        <f>15</f>
        <v>15</v>
      </c>
      <c r="B17" s="6" t="s">
        <v>51</v>
      </c>
      <c r="C17" s="6" t="s">
        <v>12</v>
      </c>
      <c r="D17" s="6" t="s">
        <v>13</v>
      </c>
      <c r="E17" s="6" t="s">
        <v>52</v>
      </c>
      <c r="F17" s="6" t="s">
        <v>53</v>
      </c>
      <c r="G17" s="6" t="s">
        <v>16</v>
      </c>
      <c r="H17" s="5">
        <v>1</v>
      </c>
      <c r="I17" s="6" t="s">
        <v>53</v>
      </c>
      <c r="J17" s="5">
        <v>270</v>
      </c>
    </row>
    <row r="18" s="2" customFormat="1" spans="1:10">
      <c r="A18" s="6">
        <f>16</f>
        <v>16</v>
      </c>
      <c r="B18" s="6" t="s">
        <v>54</v>
      </c>
      <c r="C18" s="6" t="s">
        <v>12</v>
      </c>
      <c r="D18" s="6" t="s">
        <v>13</v>
      </c>
      <c r="E18" s="6" t="s">
        <v>52</v>
      </c>
      <c r="F18" s="6" t="s">
        <v>55</v>
      </c>
      <c r="G18" s="6" t="s">
        <v>16</v>
      </c>
      <c r="H18" s="5">
        <v>3</v>
      </c>
      <c r="I18" s="6" t="s">
        <v>56</v>
      </c>
      <c r="J18" s="5">
        <v>835</v>
      </c>
    </row>
    <row r="19" s="2" customFormat="1" spans="1:10">
      <c r="A19" s="6">
        <f>17</f>
        <v>17</v>
      </c>
      <c r="B19" s="6" t="s">
        <v>57</v>
      </c>
      <c r="C19" s="6" t="s">
        <v>12</v>
      </c>
      <c r="D19" s="6" t="s">
        <v>13</v>
      </c>
      <c r="E19" s="6" t="s">
        <v>52</v>
      </c>
      <c r="F19" s="6" t="s">
        <v>58</v>
      </c>
      <c r="G19" s="6" t="s">
        <v>16</v>
      </c>
      <c r="H19" s="5">
        <v>2</v>
      </c>
      <c r="I19" s="6" t="s">
        <v>59</v>
      </c>
      <c r="J19" s="5">
        <v>620</v>
      </c>
    </row>
    <row r="20" s="2" customFormat="1" spans="1:10">
      <c r="A20" s="6">
        <f>18</f>
        <v>18</v>
      </c>
      <c r="B20" s="6" t="s">
        <v>60</v>
      </c>
      <c r="C20" s="6" t="s">
        <v>12</v>
      </c>
      <c r="D20" s="6" t="s">
        <v>13</v>
      </c>
      <c r="E20" s="6" t="s">
        <v>52</v>
      </c>
      <c r="F20" s="6" t="s">
        <v>61</v>
      </c>
      <c r="G20" s="6" t="s">
        <v>16</v>
      </c>
      <c r="H20" s="5">
        <v>1</v>
      </c>
      <c r="I20" s="6" t="s">
        <v>61</v>
      </c>
      <c r="J20" s="5">
        <v>245</v>
      </c>
    </row>
    <row r="21" s="2" customFormat="1" spans="1:10">
      <c r="A21" s="6">
        <f>19</f>
        <v>19</v>
      </c>
      <c r="B21" s="6" t="s">
        <v>62</v>
      </c>
      <c r="C21" s="6" t="s">
        <v>12</v>
      </c>
      <c r="D21" s="6" t="s">
        <v>13</v>
      </c>
      <c r="E21" s="6" t="s">
        <v>52</v>
      </c>
      <c r="F21" s="6" t="s">
        <v>63</v>
      </c>
      <c r="G21" s="6" t="s">
        <v>16</v>
      </c>
      <c r="H21" s="5">
        <v>3</v>
      </c>
      <c r="I21" s="6" t="s">
        <v>64</v>
      </c>
      <c r="J21" s="5">
        <v>965</v>
      </c>
    </row>
    <row r="22" s="2" customFormat="1" spans="1:10">
      <c r="A22" s="6">
        <f>20</f>
        <v>20</v>
      </c>
      <c r="B22" s="6" t="s">
        <v>65</v>
      </c>
      <c r="C22" s="6" t="s">
        <v>12</v>
      </c>
      <c r="D22" s="6" t="s">
        <v>13</v>
      </c>
      <c r="E22" s="6" t="s">
        <v>52</v>
      </c>
      <c r="F22" s="6" t="s">
        <v>66</v>
      </c>
      <c r="G22" s="6" t="s">
        <v>16</v>
      </c>
      <c r="H22" s="5">
        <v>2</v>
      </c>
      <c r="I22" s="6" t="s">
        <v>67</v>
      </c>
      <c r="J22" s="5">
        <v>650</v>
      </c>
    </row>
    <row r="23" s="2" customFormat="1" spans="1:10">
      <c r="A23" s="6">
        <f>21</f>
        <v>21</v>
      </c>
      <c r="B23" s="6" t="s">
        <v>68</v>
      </c>
      <c r="C23" s="6" t="s">
        <v>12</v>
      </c>
      <c r="D23" s="6" t="s">
        <v>13</v>
      </c>
      <c r="E23" s="6" t="s">
        <v>69</v>
      </c>
      <c r="F23" s="6" t="s">
        <v>70</v>
      </c>
      <c r="G23" s="6" t="s">
        <v>16</v>
      </c>
      <c r="H23" s="5">
        <v>1</v>
      </c>
      <c r="I23" s="6" t="s">
        <v>70</v>
      </c>
      <c r="J23" s="5">
        <v>573</v>
      </c>
    </row>
    <row r="24" s="2" customFormat="1" spans="1:10">
      <c r="A24" s="6">
        <f>22</f>
        <v>22</v>
      </c>
      <c r="B24" s="6" t="s">
        <v>71</v>
      </c>
      <c r="C24" s="6" t="s">
        <v>12</v>
      </c>
      <c r="D24" s="6" t="s">
        <v>13</v>
      </c>
      <c r="E24" s="6" t="s">
        <v>69</v>
      </c>
      <c r="F24" s="6" t="s">
        <v>72</v>
      </c>
      <c r="G24" s="6" t="s">
        <v>16</v>
      </c>
      <c r="H24" s="5">
        <v>3</v>
      </c>
      <c r="I24" s="6" t="s">
        <v>73</v>
      </c>
      <c r="J24" s="5">
        <v>1280</v>
      </c>
    </row>
    <row r="25" s="2" customFormat="1" spans="1:10">
      <c r="A25" s="6">
        <f>23</f>
        <v>23</v>
      </c>
      <c r="B25" s="6" t="s">
        <v>74</v>
      </c>
      <c r="C25" s="6" t="s">
        <v>12</v>
      </c>
      <c r="D25" s="6" t="s">
        <v>13</v>
      </c>
      <c r="E25" s="6" t="s">
        <v>69</v>
      </c>
      <c r="F25" s="6" t="s">
        <v>75</v>
      </c>
      <c r="G25" s="6" t="s">
        <v>16</v>
      </c>
      <c r="H25" s="5">
        <v>3</v>
      </c>
      <c r="I25" s="6" t="s">
        <v>76</v>
      </c>
      <c r="J25" s="5">
        <v>1080</v>
      </c>
    </row>
    <row r="26" s="2" customFormat="1" spans="1:10">
      <c r="A26" s="6">
        <f>24</f>
        <v>24</v>
      </c>
      <c r="B26" s="6" t="s">
        <v>77</v>
      </c>
      <c r="C26" s="6" t="s">
        <v>12</v>
      </c>
      <c r="D26" s="6" t="s">
        <v>13</v>
      </c>
      <c r="E26" s="6" t="s">
        <v>69</v>
      </c>
      <c r="F26" s="6" t="s">
        <v>78</v>
      </c>
      <c r="G26" s="6" t="s">
        <v>16</v>
      </c>
      <c r="H26" s="5">
        <v>2</v>
      </c>
      <c r="I26" s="6" t="s">
        <v>79</v>
      </c>
      <c r="J26" s="5">
        <v>740</v>
      </c>
    </row>
    <row r="27" s="2" customFormat="1" spans="1:10">
      <c r="A27" s="6">
        <f>25</f>
        <v>25</v>
      </c>
      <c r="B27" s="6" t="s">
        <v>80</v>
      </c>
      <c r="C27" s="6" t="s">
        <v>12</v>
      </c>
      <c r="D27" s="6" t="s">
        <v>13</v>
      </c>
      <c r="E27" s="6" t="s">
        <v>69</v>
      </c>
      <c r="F27" s="6" t="s">
        <v>81</v>
      </c>
      <c r="G27" s="6" t="s">
        <v>16</v>
      </c>
      <c r="H27" s="5">
        <v>1</v>
      </c>
      <c r="I27" s="6" t="s">
        <v>81</v>
      </c>
      <c r="J27" s="5">
        <v>540</v>
      </c>
    </row>
    <row r="28" s="2" customFormat="1" ht="27" spans="1:10">
      <c r="A28" s="6">
        <f>26</f>
        <v>26</v>
      </c>
      <c r="B28" s="6" t="s">
        <v>82</v>
      </c>
      <c r="C28" s="6" t="s">
        <v>12</v>
      </c>
      <c r="D28" s="6" t="s">
        <v>13</v>
      </c>
      <c r="E28" s="6" t="s">
        <v>69</v>
      </c>
      <c r="F28" s="6" t="s">
        <v>83</v>
      </c>
      <c r="G28" s="6" t="s">
        <v>16</v>
      </c>
      <c r="H28" s="5">
        <v>6</v>
      </c>
      <c r="I28" s="6" t="s">
        <v>84</v>
      </c>
      <c r="J28" s="5">
        <v>2780</v>
      </c>
    </row>
    <row r="29" s="2" customFormat="1" ht="27" spans="1:10">
      <c r="A29" s="6">
        <f>27</f>
        <v>27</v>
      </c>
      <c r="B29" s="6" t="s">
        <v>85</v>
      </c>
      <c r="C29" s="6" t="s">
        <v>12</v>
      </c>
      <c r="D29" s="6" t="s">
        <v>13</v>
      </c>
      <c r="E29" s="6" t="s">
        <v>69</v>
      </c>
      <c r="F29" s="6" t="s">
        <v>86</v>
      </c>
      <c r="G29" s="6" t="s">
        <v>16</v>
      </c>
      <c r="H29" s="5">
        <v>4</v>
      </c>
      <c r="I29" s="6" t="s">
        <v>87</v>
      </c>
      <c r="J29" s="5">
        <v>1090</v>
      </c>
    </row>
    <row r="30" s="2" customFormat="1" ht="27" spans="1:10">
      <c r="A30" s="6">
        <f>28</f>
        <v>28</v>
      </c>
      <c r="B30" s="6" t="s">
        <v>88</v>
      </c>
      <c r="C30" s="6" t="s">
        <v>12</v>
      </c>
      <c r="D30" s="6" t="s">
        <v>13</v>
      </c>
      <c r="E30" s="6" t="s">
        <v>69</v>
      </c>
      <c r="F30" s="6" t="s">
        <v>89</v>
      </c>
      <c r="G30" s="6" t="s">
        <v>16</v>
      </c>
      <c r="H30" s="5">
        <v>4</v>
      </c>
      <c r="I30" s="6" t="s">
        <v>90</v>
      </c>
      <c r="J30" s="5">
        <v>1200</v>
      </c>
    </row>
    <row r="31" s="2" customFormat="1" spans="1:10">
      <c r="A31" s="6">
        <f>29</f>
        <v>29</v>
      </c>
      <c r="B31" s="6" t="s">
        <v>91</v>
      </c>
      <c r="C31" s="6" t="s">
        <v>12</v>
      </c>
      <c r="D31" s="6" t="s">
        <v>13</v>
      </c>
      <c r="E31" s="6" t="s">
        <v>69</v>
      </c>
      <c r="F31" s="6" t="s">
        <v>92</v>
      </c>
      <c r="G31" s="6" t="s">
        <v>16</v>
      </c>
      <c r="H31" s="5">
        <v>3</v>
      </c>
      <c r="I31" s="6" t="s">
        <v>93</v>
      </c>
      <c r="J31" s="5">
        <v>1480</v>
      </c>
    </row>
    <row r="32" s="2" customFormat="1" spans="1:10">
      <c r="A32" s="6">
        <f>30</f>
        <v>30</v>
      </c>
      <c r="B32" s="6" t="s">
        <v>94</v>
      </c>
      <c r="C32" s="6" t="s">
        <v>12</v>
      </c>
      <c r="D32" s="6" t="s">
        <v>13</v>
      </c>
      <c r="E32" s="6" t="s">
        <v>69</v>
      </c>
      <c r="F32" s="6" t="s">
        <v>95</v>
      </c>
      <c r="G32" s="6" t="s">
        <v>16</v>
      </c>
      <c r="H32" s="5">
        <v>3</v>
      </c>
      <c r="I32" s="6" t="s">
        <v>96</v>
      </c>
      <c r="J32" s="5">
        <v>900</v>
      </c>
    </row>
    <row r="33" s="2" customFormat="1" ht="27" spans="1:10">
      <c r="A33" s="6">
        <f>31</f>
        <v>31</v>
      </c>
      <c r="B33" s="6" t="s">
        <v>97</v>
      </c>
      <c r="C33" s="6" t="s">
        <v>12</v>
      </c>
      <c r="D33" s="6" t="s">
        <v>13</v>
      </c>
      <c r="E33" s="6" t="s">
        <v>69</v>
      </c>
      <c r="F33" s="6" t="s">
        <v>98</v>
      </c>
      <c r="G33" s="6" t="s">
        <v>16</v>
      </c>
      <c r="H33" s="5">
        <v>4</v>
      </c>
      <c r="I33" s="6" t="s">
        <v>99</v>
      </c>
      <c r="J33" s="5">
        <v>1240</v>
      </c>
    </row>
    <row r="34" s="2" customFormat="1" spans="1:10">
      <c r="A34" s="6">
        <f>32</f>
        <v>32</v>
      </c>
      <c r="B34" s="6" t="s">
        <v>100</v>
      </c>
      <c r="C34" s="6" t="s">
        <v>12</v>
      </c>
      <c r="D34" s="6" t="s">
        <v>13</v>
      </c>
      <c r="E34" s="6" t="s">
        <v>69</v>
      </c>
      <c r="F34" s="6" t="s">
        <v>101</v>
      </c>
      <c r="G34" s="6" t="s">
        <v>16</v>
      </c>
      <c r="H34" s="5">
        <v>2</v>
      </c>
      <c r="I34" s="6" t="s">
        <v>102</v>
      </c>
      <c r="J34" s="5">
        <v>570</v>
      </c>
    </row>
    <row r="35" s="2" customFormat="1" ht="27" spans="1:10">
      <c r="A35" s="6">
        <f>33</f>
        <v>33</v>
      </c>
      <c r="B35" s="6" t="s">
        <v>103</v>
      </c>
      <c r="C35" s="6" t="s">
        <v>12</v>
      </c>
      <c r="D35" s="6" t="s">
        <v>13</v>
      </c>
      <c r="E35" s="6" t="s">
        <v>69</v>
      </c>
      <c r="F35" s="6" t="s">
        <v>104</v>
      </c>
      <c r="G35" s="6" t="s">
        <v>16</v>
      </c>
      <c r="H35" s="5">
        <v>5</v>
      </c>
      <c r="I35" s="6" t="s">
        <v>105</v>
      </c>
      <c r="J35" s="5">
        <v>2530</v>
      </c>
    </row>
    <row r="36" s="2" customFormat="1" ht="27" spans="1:10">
      <c r="A36" s="6">
        <f>34</f>
        <v>34</v>
      </c>
      <c r="B36" s="6" t="s">
        <v>106</v>
      </c>
      <c r="C36" s="6" t="s">
        <v>12</v>
      </c>
      <c r="D36" s="6" t="s">
        <v>13</v>
      </c>
      <c r="E36" s="6" t="s">
        <v>69</v>
      </c>
      <c r="F36" s="6" t="s">
        <v>107</v>
      </c>
      <c r="G36" s="6" t="s">
        <v>16</v>
      </c>
      <c r="H36" s="5">
        <v>4</v>
      </c>
      <c r="I36" s="6" t="s">
        <v>108</v>
      </c>
      <c r="J36" s="5">
        <v>1240</v>
      </c>
    </row>
    <row r="37" s="2" customFormat="1" ht="40.5" spans="1:10">
      <c r="A37" s="6">
        <f>35</f>
        <v>35</v>
      </c>
      <c r="B37" s="6" t="s">
        <v>109</v>
      </c>
      <c r="C37" s="6" t="s">
        <v>12</v>
      </c>
      <c r="D37" s="6" t="s">
        <v>13</v>
      </c>
      <c r="E37" s="6" t="s">
        <v>69</v>
      </c>
      <c r="F37" s="6" t="s">
        <v>110</v>
      </c>
      <c r="G37" s="6" t="s">
        <v>16</v>
      </c>
      <c r="H37" s="5">
        <v>8</v>
      </c>
      <c r="I37" s="6" t="s">
        <v>111</v>
      </c>
      <c r="J37" s="5">
        <v>3720</v>
      </c>
    </row>
    <row r="38" s="2" customFormat="1" spans="1:10">
      <c r="A38" s="6">
        <f>36</f>
        <v>36</v>
      </c>
      <c r="B38" s="6" t="s">
        <v>112</v>
      </c>
      <c r="C38" s="6" t="s">
        <v>12</v>
      </c>
      <c r="D38" s="6" t="s">
        <v>13</v>
      </c>
      <c r="E38" s="6" t="s">
        <v>69</v>
      </c>
      <c r="F38" s="6" t="s">
        <v>113</v>
      </c>
      <c r="G38" s="6" t="s">
        <v>16</v>
      </c>
      <c r="H38" s="5">
        <v>3</v>
      </c>
      <c r="I38" s="6" t="s">
        <v>114</v>
      </c>
      <c r="J38" s="5">
        <v>1380</v>
      </c>
    </row>
    <row r="39" s="2" customFormat="1" spans="1:10">
      <c r="A39" s="6">
        <f>37</f>
        <v>37</v>
      </c>
      <c r="B39" s="6" t="s">
        <v>115</v>
      </c>
      <c r="C39" s="6" t="s">
        <v>12</v>
      </c>
      <c r="D39" s="6" t="s">
        <v>13</v>
      </c>
      <c r="E39" s="6" t="s">
        <v>69</v>
      </c>
      <c r="F39" s="6" t="s">
        <v>116</v>
      </c>
      <c r="G39" s="6" t="s">
        <v>16</v>
      </c>
      <c r="H39" s="5">
        <v>3</v>
      </c>
      <c r="I39" s="6" t="s">
        <v>117</v>
      </c>
      <c r="J39" s="5">
        <v>1620</v>
      </c>
    </row>
    <row r="40" s="2" customFormat="1" spans="1:10">
      <c r="A40" s="6">
        <f>38</f>
        <v>38</v>
      </c>
      <c r="B40" s="6" t="s">
        <v>118</v>
      </c>
      <c r="C40" s="6" t="s">
        <v>12</v>
      </c>
      <c r="D40" s="6" t="s">
        <v>13</v>
      </c>
      <c r="E40" s="6" t="s">
        <v>69</v>
      </c>
      <c r="F40" s="6" t="s">
        <v>119</v>
      </c>
      <c r="G40" s="6" t="s">
        <v>16</v>
      </c>
      <c r="H40" s="5">
        <v>3</v>
      </c>
      <c r="I40" s="6" t="s">
        <v>120</v>
      </c>
      <c r="J40" s="5">
        <v>1280</v>
      </c>
    </row>
    <row r="41" s="2" customFormat="1" spans="1:10">
      <c r="A41" s="6">
        <f>39</f>
        <v>39</v>
      </c>
      <c r="B41" s="6" t="s">
        <v>121</v>
      </c>
      <c r="C41" s="6" t="s">
        <v>12</v>
      </c>
      <c r="D41" s="6" t="s">
        <v>13</v>
      </c>
      <c r="E41" s="6" t="s">
        <v>69</v>
      </c>
      <c r="F41" s="6" t="s">
        <v>122</v>
      </c>
      <c r="G41" s="6" t="s">
        <v>16</v>
      </c>
      <c r="H41" s="5">
        <v>1</v>
      </c>
      <c r="I41" s="6" t="s">
        <v>122</v>
      </c>
      <c r="J41" s="5">
        <v>573</v>
      </c>
    </row>
    <row r="42" s="2" customFormat="1" spans="1:10">
      <c r="A42" s="6">
        <f>40</f>
        <v>40</v>
      </c>
      <c r="B42" s="6" t="s">
        <v>123</v>
      </c>
      <c r="C42" s="6" t="s">
        <v>12</v>
      </c>
      <c r="D42" s="6" t="s">
        <v>13</v>
      </c>
      <c r="E42" s="6" t="s">
        <v>69</v>
      </c>
      <c r="F42" s="6" t="s">
        <v>124</v>
      </c>
      <c r="G42" s="6" t="s">
        <v>16</v>
      </c>
      <c r="H42" s="5">
        <v>3</v>
      </c>
      <c r="I42" s="6" t="s">
        <v>125</v>
      </c>
      <c r="J42" s="5">
        <v>1280</v>
      </c>
    </row>
    <row r="43" s="2" customFormat="1" ht="27" spans="1:10">
      <c r="A43" s="6">
        <f>41</f>
        <v>41</v>
      </c>
      <c r="B43" s="6" t="s">
        <v>126</v>
      </c>
      <c r="C43" s="6" t="s">
        <v>12</v>
      </c>
      <c r="D43" s="6" t="s">
        <v>13</v>
      </c>
      <c r="E43" s="6" t="s">
        <v>69</v>
      </c>
      <c r="F43" s="6" t="s">
        <v>127</v>
      </c>
      <c r="G43" s="6" t="s">
        <v>16</v>
      </c>
      <c r="H43" s="5">
        <v>4</v>
      </c>
      <c r="I43" s="6" t="s">
        <v>128</v>
      </c>
      <c r="J43" s="5">
        <v>1440</v>
      </c>
    </row>
    <row r="44" s="2" customFormat="1" spans="1:10">
      <c r="A44" s="6">
        <f>42</f>
        <v>42</v>
      </c>
      <c r="B44" s="6" t="s">
        <v>129</v>
      </c>
      <c r="C44" s="6" t="s">
        <v>12</v>
      </c>
      <c r="D44" s="6" t="s">
        <v>13</v>
      </c>
      <c r="E44" s="6" t="s">
        <v>69</v>
      </c>
      <c r="F44" s="6" t="s">
        <v>130</v>
      </c>
      <c r="G44" s="6" t="s">
        <v>16</v>
      </c>
      <c r="H44" s="5">
        <v>1</v>
      </c>
      <c r="I44" s="6" t="s">
        <v>130</v>
      </c>
      <c r="J44" s="5">
        <v>460</v>
      </c>
    </row>
    <row r="45" s="2" customFormat="1" spans="1:10">
      <c r="A45" s="6">
        <f>43</f>
        <v>43</v>
      </c>
      <c r="B45" s="6" t="s">
        <v>131</v>
      </c>
      <c r="C45" s="6" t="s">
        <v>12</v>
      </c>
      <c r="D45" s="6" t="s">
        <v>13</v>
      </c>
      <c r="E45" s="6" t="s">
        <v>69</v>
      </c>
      <c r="F45" s="6" t="s">
        <v>132</v>
      </c>
      <c r="G45" s="6" t="s">
        <v>16</v>
      </c>
      <c r="H45" s="5">
        <v>2</v>
      </c>
      <c r="I45" s="6" t="s">
        <v>133</v>
      </c>
      <c r="J45" s="5">
        <v>480</v>
      </c>
    </row>
    <row r="46" s="2" customFormat="1" spans="1:10">
      <c r="A46" s="6">
        <f>44</f>
        <v>44</v>
      </c>
      <c r="B46" s="6" t="s">
        <v>134</v>
      </c>
      <c r="C46" s="6" t="s">
        <v>12</v>
      </c>
      <c r="D46" s="6" t="s">
        <v>13</v>
      </c>
      <c r="E46" s="6" t="s">
        <v>69</v>
      </c>
      <c r="F46" s="6" t="s">
        <v>135</v>
      </c>
      <c r="G46" s="6" t="s">
        <v>16</v>
      </c>
      <c r="H46" s="5">
        <v>3</v>
      </c>
      <c r="I46" s="6" t="s">
        <v>136</v>
      </c>
      <c r="J46" s="5">
        <v>710</v>
      </c>
    </row>
    <row r="47" s="2" customFormat="1" spans="1:10">
      <c r="A47" s="6">
        <f>45</f>
        <v>45</v>
      </c>
      <c r="B47" s="6" t="s">
        <v>137</v>
      </c>
      <c r="C47" s="6" t="s">
        <v>12</v>
      </c>
      <c r="D47" s="6" t="s">
        <v>13</v>
      </c>
      <c r="E47" s="6" t="s">
        <v>69</v>
      </c>
      <c r="F47" s="6" t="s">
        <v>138</v>
      </c>
      <c r="G47" s="6" t="s">
        <v>16</v>
      </c>
      <c r="H47" s="5">
        <v>2</v>
      </c>
      <c r="I47" s="6" t="s">
        <v>139</v>
      </c>
      <c r="J47" s="5">
        <v>920</v>
      </c>
    </row>
    <row r="48" s="2" customFormat="1" spans="1:10">
      <c r="A48" s="6">
        <f>46</f>
        <v>46</v>
      </c>
      <c r="B48" s="6" t="s">
        <v>140</v>
      </c>
      <c r="C48" s="6" t="s">
        <v>12</v>
      </c>
      <c r="D48" s="6" t="s">
        <v>13</v>
      </c>
      <c r="E48" s="6" t="s">
        <v>69</v>
      </c>
      <c r="F48" s="6" t="s">
        <v>141</v>
      </c>
      <c r="G48" s="6" t="s">
        <v>16</v>
      </c>
      <c r="H48" s="5">
        <v>1</v>
      </c>
      <c r="I48" s="6" t="s">
        <v>141</v>
      </c>
      <c r="J48" s="5">
        <v>460</v>
      </c>
    </row>
    <row r="49" s="2" customFormat="1" spans="1:10">
      <c r="A49" s="6">
        <f>47</f>
        <v>47</v>
      </c>
      <c r="B49" s="6" t="s">
        <v>142</v>
      </c>
      <c r="C49" s="6" t="s">
        <v>12</v>
      </c>
      <c r="D49" s="6" t="s">
        <v>13</v>
      </c>
      <c r="E49" s="6" t="s">
        <v>69</v>
      </c>
      <c r="F49" s="6" t="s">
        <v>143</v>
      </c>
      <c r="G49" s="6" t="s">
        <v>16</v>
      </c>
      <c r="H49" s="5">
        <v>2</v>
      </c>
      <c r="I49" s="6" t="s">
        <v>144</v>
      </c>
      <c r="J49" s="5">
        <v>520</v>
      </c>
    </row>
    <row r="50" s="2" customFormat="1" ht="27" spans="1:10">
      <c r="A50" s="6">
        <f>48</f>
        <v>48</v>
      </c>
      <c r="B50" s="6" t="s">
        <v>145</v>
      </c>
      <c r="C50" s="6" t="s">
        <v>12</v>
      </c>
      <c r="D50" s="6" t="s">
        <v>13</v>
      </c>
      <c r="E50" s="6" t="s">
        <v>69</v>
      </c>
      <c r="F50" s="6" t="s">
        <v>146</v>
      </c>
      <c r="G50" s="6" t="s">
        <v>16</v>
      </c>
      <c r="H50" s="5">
        <v>4</v>
      </c>
      <c r="I50" s="6" t="s">
        <v>147</v>
      </c>
      <c r="J50" s="5">
        <v>1420</v>
      </c>
    </row>
    <row r="51" s="2" customFormat="1" spans="1:10">
      <c r="A51" s="6">
        <f>49</f>
        <v>49</v>
      </c>
      <c r="B51" s="6" t="s">
        <v>148</v>
      </c>
      <c r="C51" s="6" t="s">
        <v>12</v>
      </c>
      <c r="D51" s="6" t="s">
        <v>13</v>
      </c>
      <c r="E51" s="6" t="s">
        <v>69</v>
      </c>
      <c r="F51" s="6" t="s">
        <v>149</v>
      </c>
      <c r="G51" s="6" t="s">
        <v>16</v>
      </c>
      <c r="H51" s="5">
        <v>2</v>
      </c>
      <c r="I51" s="6" t="s">
        <v>150</v>
      </c>
      <c r="J51" s="5">
        <v>1080</v>
      </c>
    </row>
    <row r="52" s="2" customFormat="1" ht="27" spans="1:10">
      <c r="A52" s="6">
        <f>50</f>
        <v>50</v>
      </c>
      <c r="B52" s="6" t="s">
        <v>151</v>
      </c>
      <c r="C52" s="6" t="s">
        <v>12</v>
      </c>
      <c r="D52" s="6" t="s">
        <v>13</v>
      </c>
      <c r="E52" s="6" t="s">
        <v>69</v>
      </c>
      <c r="F52" s="6" t="s">
        <v>152</v>
      </c>
      <c r="G52" s="6" t="s">
        <v>16</v>
      </c>
      <c r="H52" s="5">
        <v>4</v>
      </c>
      <c r="I52" s="6" t="s">
        <v>153</v>
      </c>
      <c r="J52" s="5">
        <v>1600</v>
      </c>
    </row>
    <row r="53" s="2" customFormat="1" spans="1:10">
      <c r="A53" s="6">
        <f>51</f>
        <v>51</v>
      </c>
      <c r="B53" s="6" t="s">
        <v>154</v>
      </c>
      <c r="C53" s="6" t="s">
        <v>12</v>
      </c>
      <c r="D53" s="6" t="s">
        <v>13</v>
      </c>
      <c r="E53" s="6" t="s">
        <v>69</v>
      </c>
      <c r="F53" s="6" t="s">
        <v>155</v>
      </c>
      <c r="G53" s="6" t="s">
        <v>16</v>
      </c>
      <c r="H53" s="5">
        <v>1</v>
      </c>
      <c r="I53" s="6" t="s">
        <v>155</v>
      </c>
      <c r="J53" s="5">
        <v>573</v>
      </c>
    </row>
    <row r="54" s="2" customFormat="1" ht="27" spans="1:10">
      <c r="A54" s="6">
        <f>52</f>
        <v>52</v>
      </c>
      <c r="B54" s="6" t="s">
        <v>156</v>
      </c>
      <c r="C54" s="6" t="s">
        <v>12</v>
      </c>
      <c r="D54" s="6" t="s">
        <v>13</v>
      </c>
      <c r="E54" s="6" t="s">
        <v>69</v>
      </c>
      <c r="F54" s="6" t="s">
        <v>157</v>
      </c>
      <c r="G54" s="6" t="s">
        <v>16</v>
      </c>
      <c r="H54" s="5">
        <v>4</v>
      </c>
      <c r="I54" s="6" t="s">
        <v>158</v>
      </c>
      <c r="J54" s="5">
        <v>940</v>
      </c>
    </row>
    <row r="55" s="2" customFormat="1" spans="1:10">
      <c r="A55" s="6">
        <f>53</f>
        <v>53</v>
      </c>
      <c r="B55" s="6" t="s">
        <v>159</v>
      </c>
      <c r="C55" s="6" t="s">
        <v>12</v>
      </c>
      <c r="D55" s="6" t="s">
        <v>13</v>
      </c>
      <c r="E55" s="6" t="s">
        <v>69</v>
      </c>
      <c r="F55" s="6" t="s">
        <v>160</v>
      </c>
      <c r="G55" s="6" t="s">
        <v>16</v>
      </c>
      <c r="H55" s="5">
        <v>2</v>
      </c>
      <c r="I55" s="6" t="s">
        <v>161</v>
      </c>
      <c r="J55" s="5">
        <v>520</v>
      </c>
    </row>
    <row r="56" s="2" customFormat="1" ht="27" spans="1:10">
      <c r="A56" s="6">
        <f>54</f>
        <v>54</v>
      </c>
      <c r="B56" s="6" t="s">
        <v>162</v>
      </c>
      <c r="C56" s="6" t="s">
        <v>12</v>
      </c>
      <c r="D56" s="6" t="s">
        <v>13</v>
      </c>
      <c r="E56" s="6" t="s">
        <v>69</v>
      </c>
      <c r="F56" s="6" t="s">
        <v>163</v>
      </c>
      <c r="G56" s="6" t="s">
        <v>16</v>
      </c>
      <c r="H56" s="5">
        <v>5</v>
      </c>
      <c r="I56" s="6" t="s">
        <v>164</v>
      </c>
      <c r="J56" s="5">
        <v>1800</v>
      </c>
    </row>
    <row r="57" s="2" customFormat="1" ht="27" spans="1:10">
      <c r="A57" s="6">
        <f>55</f>
        <v>55</v>
      </c>
      <c r="B57" s="6" t="s">
        <v>165</v>
      </c>
      <c r="C57" s="6" t="s">
        <v>12</v>
      </c>
      <c r="D57" s="6" t="s">
        <v>13</v>
      </c>
      <c r="E57" s="6" t="s">
        <v>69</v>
      </c>
      <c r="F57" s="6" t="s">
        <v>166</v>
      </c>
      <c r="G57" s="6" t="s">
        <v>16</v>
      </c>
      <c r="H57" s="5">
        <v>6</v>
      </c>
      <c r="I57" s="6" t="s">
        <v>167</v>
      </c>
      <c r="J57" s="5">
        <v>1080</v>
      </c>
    </row>
    <row r="58" s="2" customFormat="1" spans="1:10">
      <c r="A58" s="6">
        <f>56</f>
        <v>56</v>
      </c>
      <c r="B58" s="6" t="s">
        <v>168</v>
      </c>
      <c r="C58" s="6" t="s">
        <v>12</v>
      </c>
      <c r="D58" s="6" t="s">
        <v>13</v>
      </c>
      <c r="E58" s="6" t="s">
        <v>69</v>
      </c>
      <c r="F58" s="6" t="s">
        <v>169</v>
      </c>
      <c r="G58" s="6" t="s">
        <v>16</v>
      </c>
      <c r="H58" s="5">
        <v>2</v>
      </c>
      <c r="I58" s="6" t="s">
        <v>170</v>
      </c>
      <c r="J58" s="5">
        <v>420</v>
      </c>
    </row>
    <row r="59" s="2" customFormat="1" spans="1:10">
      <c r="A59" s="6">
        <f>57</f>
        <v>57</v>
      </c>
      <c r="B59" s="6" t="s">
        <v>171</v>
      </c>
      <c r="C59" s="6" t="s">
        <v>12</v>
      </c>
      <c r="D59" s="6" t="s">
        <v>13</v>
      </c>
      <c r="E59" s="6" t="s">
        <v>69</v>
      </c>
      <c r="F59" s="6" t="s">
        <v>172</v>
      </c>
      <c r="G59" s="6" t="s">
        <v>16</v>
      </c>
      <c r="H59" s="5">
        <v>3</v>
      </c>
      <c r="I59" s="6" t="s">
        <v>173</v>
      </c>
      <c r="J59" s="5">
        <v>780</v>
      </c>
    </row>
    <row r="60" s="2" customFormat="1" spans="1:10">
      <c r="A60" s="6">
        <f>58</f>
        <v>58</v>
      </c>
      <c r="B60" s="6" t="s">
        <v>174</v>
      </c>
      <c r="C60" s="6" t="s">
        <v>12</v>
      </c>
      <c r="D60" s="6" t="s">
        <v>13</v>
      </c>
      <c r="E60" s="6" t="s">
        <v>69</v>
      </c>
      <c r="F60" s="6" t="s">
        <v>175</v>
      </c>
      <c r="G60" s="6" t="s">
        <v>16</v>
      </c>
      <c r="H60" s="5">
        <v>2</v>
      </c>
      <c r="I60" s="6" t="s">
        <v>176</v>
      </c>
      <c r="J60" s="5">
        <v>1146</v>
      </c>
    </row>
    <row r="61" s="2" customFormat="1" spans="1:10">
      <c r="A61" s="6">
        <f>59</f>
        <v>59</v>
      </c>
      <c r="B61" s="6" t="s">
        <v>177</v>
      </c>
      <c r="C61" s="6" t="s">
        <v>12</v>
      </c>
      <c r="D61" s="6" t="s">
        <v>13</v>
      </c>
      <c r="E61" s="6" t="s">
        <v>178</v>
      </c>
      <c r="F61" s="6" t="s">
        <v>179</v>
      </c>
      <c r="G61" s="6" t="s">
        <v>16</v>
      </c>
      <c r="H61" s="5">
        <v>2</v>
      </c>
      <c r="I61" s="6" t="s">
        <v>180</v>
      </c>
      <c r="J61" s="5">
        <v>820</v>
      </c>
    </row>
    <row r="62" s="2" customFormat="1" ht="27" spans="1:10">
      <c r="A62" s="6">
        <f>60</f>
        <v>60</v>
      </c>
      <c r="B62" s="6" t="s">
        <v>181</v>
      </c>
      <c r="C62" s="6" t="s">
        <v>12</v>
      </c>
      <c r="D62" s="6" t="s">
        <v>13</v>
      </c>
      <c r="E62" s="6" t="s">
        <v>178</v>
      </c>
      <c r="F62" s="6" t="s">
        <v>182</v>
      </c>
      <c r="G62" s="6" t="s">
        <v>16</v>
      </c>
      <c r="H62" s="5">
        <v>4</v>
      </c>
      <c r="I62" s="6" t="s">
        <v>183</v>
      </c>
      <c r="J62" s="5">
        <v>1960</v>
      </c>
    </row>
    <row r="63" s="2" customFormat="1" spans="1:10">
      <c r="A63" s="6">
        <f>61</f>
        <v>61</v>
      </c>
      <c r="B63" s="6" t="s">
        <v>184</v>
      </c>
      <c r="C63" s="6" t="s">
        <v>12</v>
      </c>
      <c r="D63" s="6" t="s">
        <v>13</v>
      </c>
      <c r="E63" s="6" t="s">
        <v>178</v>
      </c>
      <c r="F63" s="6" t="s">
        <v>185</v>
      </c>
      <c r="G63" s="6" t="s">
        <v>16</v>
      </c>
      <c r="H63" s="5">
        <v>1</v>
      </c>
      <c r="I63" s="6" t="s">
        <v>185</v>
      </c>
      <c r="J63" s="5">
        <v>540</v>
      </c>
    </row>
    <row r="64" s="2" customFormat="1" spans="1:10">
      <c r="A64" s="6">
        <f>62</f>
        <v>62</v>
      </c>
      <c r="B64" s="6" t="s">
        <v>186</v>
      </c>
      <c r="C64" s="6" t="s">
        <v>12</v>
      </c>
      <c r="D64" s="6" t="s">
        <v>13</v>
      </c>
      <c r="E64" s="6" t="s">
        <v>178</v>
      </c>
      <c r="F64" s="6" t="s">
        <v>187</v>
      </c>
      <c r="G64" s="6" t="s">
        <v>16</v>
      </c>
      <c r="H64" s="5">
        <v>1</v>
      </c>
      <c r="I64" s="6" t="s">
        <v>187</v>
      </c>
      <c r="J64" s="5">
        <v>400</v>
      </c>
    </row>
    <row r="65" s="2" customFormat="1" spans="1:10">
      <c r="A65" s="6">
        <f>63</f>
        <v>63</v>
      </c>
      <c r="B65" s="6" t="s">
        <v>188</v>
      </c>
      <c r="C65" s="6" t="s">
        <v>12</v>
      </c>
      <c r="D65" s="6" t="s">
        <v>13</v>
      </c>
      <c r="E65" s="6" t="s">
        <v>178</v>
      </c>
      <c r="F65" s="6" t="s">
        <v>189</v>
      </c>
      <c r="G65" s="6" t="s">
        <v>16</v>
      </c>
      <c r="H65" s="5">
        <v>2</v>
      </c>
      <c r="I65" s="6" t="s">
        <v>190</v>
      </c>
      <c r="J65" s="5">
        <v>840</v>
      </c>
    </row>
    <row r="66" s="2" customFormat="1" ht="27" spans="1:10">
      <c r="A66" s="6">
        <f>64</f>
        <v>64</v>
      </c>
      <c r="B66" s="6" t="s">
        <v>191</v>
      </c>
      <c r="C66" s="6" t="s">
        <v>12</v>
      </c>
      <c r="D66" s="6" t="s">
        <v>13</v>
      </c>
      <c r="E66" s="6" t="s">
        <v>178</v>
      </c>
      <c r="F66" s="6" t="s">
        <v>192</v>
      </c>
      <c r="G66" s="6" t="s">
        <v>16</v>
      </c>
      <c r="H66" s="5">
        <v>5</v>
      </c>
      <c r="I66" s="6" t="s">
        <v>193</v>
      </c>
      <c r="J66" s="5">
        <v>1880</v>
      </c>
    </row>
    <row r="67" s="2" customFormat="1" spans="1:10">
      <c r="A67" s="6">
        <f>65</f>
        <v>65</v>
      </c>
      <c r="B67" s="6" t="s">
        <v>194</v>
      </c>
      <c r="C67" s="6" t="s">
        <v>12</v>
      </c>
      <c r="D67" s="6" t="s">
        <v>13</v>
      </c>
      <c r="E67" s="6" t="s">
        <v>178</v>
      </c>
      <c r="F67" s="6" t="s">
        <v>195</v>
      </c>
      <c r="G67" s="6" t="s">
        <v>16</v>
      </c>
      <c r="H67" s="5">
        <v>3</v>
      </c>
      <c r="I67" s="6" t="s">
        <v>196</v>
      </c>
      <c r="J67" s="5">
        <v>1620</v>
      </c>
    </row>
    <row r="68" s="2" customFormat="1" spans="1:10">
      <c r="A68" s="6">
        <f>66</f>
        <v>66</v>
      </c>
      <c r="B68" s="6" t="s">
        <v>197</v>
      </c>
      <c r="C68" s="6" t="s">
        <v>12</v>
      </c>
      <c r="D68" s="6" t="s">
        <v>13</v>
      </c>
      <c r="E68" s="6" t="s">
        <v>178</v>
      </c>
      <c r="F68" s="6" t="s">
        <v>198</v>
      </c>
      <c r="G68" s="6" t="s">
        <v>16</v>
      </c>
      <c r="H68" s="5">
        <v>2</v>
      </c>
      <c r="I68" s="6" t="s">
        <v>199</v>
      </c>
      <c r="J68" s="5">
        <v>720</v>
      </c>
    </row>
    <row r="69" s="2" customFormat="1" ht="27" spans="1:10">
      <c r="A69" s="6">
        <f>67</f>
        <v>67</v>
      </c>
      <c r="B69" s="6" t="s">
        <v>200</v>
      </c>
      <c r="C69" s="6" t="s">
        <v>12</v>
      </c>
      <c r="D69" s="6" t="s">
        <v>13</v>
      </c>
      <c r="E69" s="6" t="s">
        <v>178</v>
      </c>
      <c r="F69" s="6" t="s">
        <v>201</v>
      </c>
      <c r="G69" s="6" t="s">
        <v>16</v>
      </c>
      <c r="H69" s="5">
        <v>4</v>
      </c>
      <c r="I69" s="6" t="s">
        <v>202</v>
      </c>
      <c r="J69" s="5">
        <v>1360</v>
      </c>
    </row>
    <row r="70" s="2" customFormat="1" spans="1:10">
      <c r="A70" s="6">
        <f>68</f>
        <v>68</v>
      </c>
      <c r="B70" s="6" t="s">
        <v>203</v>
      </c>
      <c r="C70" s="6" t="s">
        <v>12</v>
      </c>
      <c r="D70" s="6" t="s">
        <v>13</v>
      </c>
      <c r="E70" s="6" t="s">
        <v>178</v>
      </c>
      <c r="F70" s="6" t="s">
        <v>204</v>
      </c>
      <c r="G70" s="6" t="s">
        <v>16</v>
      </c>
      <c r="H70" s="5">
        <v>2</v>
      </c>
      <c r="I70" s="6" t="s">
        <v>205</v>
      </c>
      <c r="J70" s="5">
        <v>520</v>
      </c>
    </row>
    <row r="71" s="2" customFormat="1" spans="1:10">
      <c r="A71" s="6">
        <f>69</f>
        <v>69</v>
      </c>
      <c r="B71" s="6" t="s">
        <v>206</v>
      </c>
      <c r="C71" s="6" t="s">
        <v>12</v>
      </c>
      <c r="D71" s="6" t="s">
        <v>13</v>
      </c>
      <c r="E71" s="6" t="s">
        <v>178</v>
      </c>
      <c r="F71" s="6" t="s">
        <v>207</v>
      </c>
      <c r="G71" s="6" t="s">
        <v>16</v>
      </c>
      <c r="H71" s="5">
        <v>3</v>
      </c>
      <c r="I71" s="6" t="s">
        <v>208</v>
      </c>
      <c r="J71" s="5">
        <v>1620</v>
      </c>
    </row>
    <row r="72" s="2" customFormat="1" spans="1:10">
      <c r="A72" s="6">
        <f>70</f>
        <v>70</v>
      </c>
      <c r="B72" s="6" t="s">
        <v>209</v>
      </c>
      <c r="C72" s="6" t="s">
        <v>12</v>
      </c>
      <c r="D72" s="6" t="s">
        <v>13</v>
      </c>
      <c r="E72" s="6" t="s">
        <v>178</v>
      </c>
      <c r="F72" s="6" t="s">
        <v>210</v>
      </c>
      <c r="G72" s="6" t="s">
        <v>16</v>
      </c>
      <c r="H72" s="5">
        <v>3</v>
      </c>
      <c r="I72" s="6" t="s">
        <v>211</v>
      </c>
      <c r="J72" s="5">
        <v>1320</v>
      </c>
    </row>
    <row r="73" s="2" customFormat="1" spans="1:10">
      <c r="A73" s="6">
        <f>71</f>
        <v>71</v>
      </c>
      <c r="B73" s="6" t="s">
        <v>212</v>
      </c>
      <c r="C73" s="6" t="s">
        <v>12</v>
      </c>
      <c r="D73" s="6" t="s">
        <v>13</v>
      </c>
      <c r="E73" s="6" t="s">
        <v>178</v>
      </c>
      <c r="F73" s="6" t="s">
        <v>213</v>
      </c>
      <c r="G73" s="6" t="s">
        <v>16</v>
      </c>
      <c r="H73" s="5">
        <v>1</v>
      </c>
      <c r="I73" s="6" t="s">
        <v>213</v>
      </c>
      <c r="J73" s="5">
        <v>440</v>
      </c>
    </row>
    <row r="74" s="2" customFormat="1" spans="1:10">
      <c r="A74" s="6">
        <f>72</f>
        <v>72</v>
      </c>
      <c r="B74" s="6" t="s">
        <v>214</v>
      </c>
      <c r="C74" s="6" t="s">
        <v>12</v>
      </c>
      <c r="D74" s="6" t="s">
        <v>13</v>
      </c>
      <c r="E74" s="6" t="s">
        <v>178</v>
      </c>
      <c r="F74" s="6" t="s">
        <v>215</v>
      </c>
      <c r="G74" s="6" t="s">
        <v>16</v>
      </c>
      <c r="H74" s="5">
        <v>1</v>
      </c>
      <c r="I74" s="6" t="s">
        <v>215</v>
      </c>
      <c r="J74" s="5">
        <v>360</v>
      </c>
    </row>
    <row r="75" s="2" customFormat="1" ht="27" spans="1:10">
      <c r="A75" s="6">
        <f>73</f>
        <v>73</v>
      </c>
      <c r="B75" s="6" t="s">
        <v>216</v>
      </c>
      <c r="C75" s="6" t="s">
        <v>12</v>
      </c>
      <c r="D75" s="6" t="s">
        <v>13</v>
      </c>
      <c r="E75" s="6" t="s">
        <v>178</v>
      </c>
      <c r="F75" s="6" t="s">
        <v>217</v>
      </c>
      <c r="G75" s="6" t="s">
        <v>16</v>
      </c>
      <c r="H75" s="5">
        <v>4</v>
      </c>
      <c r="I75" s="6" t="s">
        <v>218</v>
      </c>
      <c r="J75" s="5">
        <v>2160</v>
      </c>
    </row>
    <row r="76" s="2" customFormat="1" ht="27" spans="1:10">
      <c r="A76" s="6">
        <f>74</f>
        <v>74</v>
      </c>
      <c r="B76" s="6" t="s">
        <v>219</v>
      </c>
      <c r="C76" s="6" t="s">
        <v>12</v>
      </c>
      <c r="D76" s="6" t="s">
        <v>13</v>
      </c>
      <c r="E76" s="6" t="s">
        <v>178</v>
      </c>
      <c r="F76" s="6" t="s">
        <v>220</v>
      </c>
      <c r="G76" s="6" t="s">
        <v>16</v>
      </c>
      <c r="H76" s="5">
        <v>5</v>
      </c>
      <c r="I76" s="6" t="s">
        <v>221</v>
      </c>
      <c r="J76" s="5">
        <v>1500</v>
      </c>
    </row>
    <row r="77" s="2" customFormat="1" ht="27" spans="1:10">
      <c r="A77" s="6">
        <f>75</f>
        <v>75</v>
      </c>
      <c r="B77" s="6" t="s">
        <v>222</v>
      </c>
      <c r="C77" s="6" t="s">
        <v>12</v>
      </c>
      <c r="D77" s="6" t="s">
        <v>13</v>
      </c>
      <c r="E77" s="6" t="s">
        <v>178</v>
      </c>
      <c r="F77" s="6" t="s">
        <v>223</v>
      </c>
      <c r="G77" s="6" t="s">
        <v>16</v>
      </c>
      <c r="H77" s="5">
        <v>5</v>
      </c>
      <c r="I77" s="6" t="s">
        <v>224</v>
      </c>
      <c r="J77" s="5">
        <v>1600</v>
      </c>
    </row>
    <row r="78" s="2" customFormat="1" spans="1:10">
      <c r="A78" s="6">
        <f>76</f>
        <v>76</v>
      </c>
      <c r="B78" s="6" t="s">
        <v>225</v>
      </c>
      <c r="C78" s="6" t="s">
        <v>12</v>
      </c>
      <c r="D78" s="6" t="s">
        <v>13</v>
      </c>
      <c r="E78" s="6" t="s">
        <v>178</v>
      </c>
      <c r="F78" s="6" t="s">
        <v>226</v>
      </c>
      <c r="G78" s="6" t="s">
        <v>16</v>
      </c>
      <c r="H78" s="5">
        <v>3</v>
      </c>
      <c r="I78" s="6" t="s">
        <v>227</v>
      </c>
      <c r="J78" s="5">
        <v>1320</v>
      </c>
    </row>
    <row r="79" s="2" customFormat="1" ht="27" spans="1:10">
      <c r="A79" s="6">
        <f>77</f>
        <v>77</v>
      </c>
      <c r="B79" s="6" t="s">
        <v>228</v>
      </c>
      <c r="C79" s="6" t="s">
        <v>12</v>
      </c>
      <c r="D79" s="6" t="s">
        <v>13</v>
      </c>
      <c r="E79" s="6" t="s">
        <v>178</v>
      </c>
      <c r="F79" s="6" t="s">
        <v>229</v>
      </c>
      <c r="G79" s="6" t="s">
        <v>16</v>
      </c>
      <c r="H79" s="5">
        <v>5</v>
      </c>
      <c r="I79" s="6" t="s">
        <v>230</v>
      </c>
      <c r="J79" s="5">
        <v>2700</v>
      </c>
    </row>
    <row r="80" s="2" customFormat="1" spans="1:10">
      <c r="A80" s="6">
        <f>78</f>
        <v>78</v>
      </c>
      <c r="B80" s="6" t="s">
        <v>231</v>
      </c>
      <c r="C80" s="6" t="s">
        <v>12</v>
      </c>
      <c r="D80" s="6" t="s">
        <v>13</v>
      </c>
      <c r="E80" s="6" t="s">
        <v>178</v>
      </c>
      <c r="F80" s="6" t="s">
        <v>232</v>
      </c>
      <c r="G80" s="6" t="s">
        <v>16</v>
      </c>
      <c r="H80" s="5">
        <v>1</v>
      </c>
      <c r="I80" s="6" t="s">
        <v>232</v>
      </c>
      <c r="J80" s="5">
        <v>573</v>
      </c>
    </row>
    <row r="81" s="2" customFormat="1" spans="1:10">
      <c r="A81" s="6">
        <f>79</f>
        <v>79</v>
      </c>
      <c r="B81" s="6" t="s">
        <v>233</v>
      </c>
      <c r="C81" s="6" t="s">
        <v>12</v>
      </c>
      <c r="D81" s="6" t="s">
        <v>13</v>
      </c>
      <c r="E81" s="6" t="s">
        <v>178</v>
      </c>
      <c r="F81" s="6" t="s">
        <v>234</v>
      </c>
      <c r="G81" s="6" t="s">
        <v>16</v>
      </c>
      <c r="H81" s="5">
        <v>2</v>
      </c>
      <c r="I81" s="6" t="s">
        <v>235</v>
      </c>
      <c r="J81" s="5">
        <v>1140</v>
      </c>
    </row>
    <row r="82" s="2" customFormat="1" spans="1:10">
      <c r="A82" s="6">
        <f>80</f>
        <v>80</v>
      </c>
      <c r="B82" s="6" t="s">
        <v>236</v>
      </c>
      <c r="C82" s="6" t="s">
        <v>12</v>
      </c>
      <c r="D82" s="6" t="s">
        <v>13</v>
      </c>
      <c r="E82" s="6" t="s">
        <v>178</v>
      </c>
      <c r="F82" s="6" t="s">
        <v>237</v>
      </c>
      <c r="G82" s="6" t="s">
        <v>16</v>
      </c>
      <c r="H82" s="5">
        <v>2</v>
      </c>
      <c r="I82" s="6" t="s">
        <v>238</v>
      </c>
      <c r="J82" s="5">
        <v>920</v>
      </c>
    </row>
    <row r="83" s="2" customFormat="1" spans="1:10">
      <c r="A83" s="6">
        <f>81</f>
        <v>81</v>
      </c>
      <c r="B83" s="6" t="s">
        <v>239</v>
      </c>
      <c r="C83" s="6" t="s">
        <v>12</v>
      </c>
      <c r="D83" s="6" t="s">
        <v>13</v>
      </c>
      <c r="E83" s="6" t="s">
        <v>178</v>
      </c>
      <c r="F83" s="6" t="s">
        <v>240</v>
      </c>
      <c r="G83" s="6" t="s">
        <v>16</v>
      </c>
      <c r="H83" s="5">
        <v>1</v>
      </c>
      <c r="I83" s="6" t="s">
        <v>240</v>
      </c>
      <c r="J83" s="5">
        <v>460</v>
      </c>
    </row>
    <row r="84" s="2" customFormat="1" spans="1:10">
      <c r="A84" s="6">
        <f>82</f>
        <v>82</v>
      </c>
      <c r="B84" s="6" t="s">
        <v>241</v>
      </c>
      <c r="C84" s="6" t="s">
        <v>12</v>
      </c>
      <c r="D84" s="6" t="s">
        <v>13</v>
      </c>
      <c r="E84" s="6" t="s">
        <v>178</v>
      </c>
      <c r="F84" s="6" t="s">
        <v>242</v>
      </c>
      <c r="G84" s="6" t="s">
        <v>16</v>
      </c>
      <c r="H84" s="5">
        <v>3</v>
      </c>
      <c r="I84" s="6" t="s">
        <v>243</v>
      </c>
      <c r="J84" s="5">
        <v>1320</v>
      </c>
    </row>
    <row r="85" s="2" customFormat="1" spans="1:10">
      <c r="A85" s="6">
        <f>83</f>
        <v>83</v>
      </c>
      <c r="B85" s="6" t="s">
        <v>244</v>
      </c>
      <c r="C85" s="6" t="s">
        <v>12</v>
      </c>
      <c r="D85" s="6" t="s">
        <v>13</v>
      </c>
      <c r="E85" s="6" t="s">
        <v>178</v>
      </c>
      <c r="F85" s="6" t="s">
        <v>245</v>
      </c>
      <c r="G85" s="6" t="s">
        <v>16</v>
      </c>
      <c r="H85" s="5">
        <v>1</v>
      </c>
      <c r="I85" s="6" t="s">
        <v>245</v>
      </c>
      <c r="J85" s="5">
        <v>480</v>
      </c>
    </row>
    <row r="86" s="2" customFormat="1" spans="1:10">
      <c r="A86" s="6">
        <f>84</f>
        <v>84</v>
      </c>
      <c r="B86" s="6" t="s">
        <v>246</v>
      </c>
      <c r="C86" s="6" t="s">
        <v>12</v>
      </c>
      <c r="D86" s="6" t="s">
        <v>13</v>
      </c>
      <c r="E86" s="6" t="s">
        <v>178</v>
      </c>
      <c r="F86" s="6" t="s">
        <v>247</v>
      </c>
      <c r="G86" s="6" t="s">
        <v>16</v>
      </c>
      <c r="H86" s="5">
        <v>1</v>
      </c>
      <c r="I86" s="6" t="s">
        <v>247</v>
      </c>
      <c r="J86" s="5">
        <v>233</v>
      </c>
    </row>
    <row r="87" s="2" customFormat="1" spans="1:10">
      <c r="A87" s="6">
        <f>85</f>
        <v>85</v>
      </c>
      <c r="B87" s="6" t="s">
        <v>248</v>
      </c>
      <c r="C87" s="6" t="s">
        <v>12</v>
      </c>
      <c r="D87" s="6" t="s">
        <v>13</v>
      </c>
      <c r="E87" s="6" t="s">
        <v>178</v>
      </c>
      <c r="F87" s="6" t="s">
        <v>249</v>
      </c>
      <c r="G87" s="6" t="s">
        <v>16</v>
      </c>
      <c r="H87" s="5">
        <v>1</v>
      </c>
      <c r="I87" s="6" t="s">
        <v>249</v>
      </c>
      <c r="J87" s="5">
        <v>510</v>
      </c>
    </row>
    <row r="88" s="2" customFormat="1" ht="27" spans="1:10">
      <c r="A88" s="6">
        <f>86</f>
        <v>86</v>
      </c>
      <c r="B88" s="6" t="s">
        <v>250</v>
      </c>
      <c r="C88" s="6" t="s">
        <v>12</v>
      </c>
      <c r="D88" s="6" t="s">
        <v>13</v>
      </c>
      <c r="E88" s="6" t="s">
        <v>178</v>
      </c>
      <c r="F88" s="6" t="s">
        <v>251</v>
      </c>
      <c r="G88" s="6" t="s">
        <v>16</v>
      </c>
      <c r="H88" s="5">
        <v>5</v>
      </c>
      <c r="I88" s="6" t="s">
        <v>252</v>
      </c>
      <c r="J88" s="5">
        <v>1180</v>
      </c>
    </row>
    <row r="89" s="2" customFormat="1" spans="1:10">
      <c r="A89" s="6">
        <f>87</f>
        <v>87</v>
      </c>
      <c r="B89" s="6" t="s">
        <v>253</v>
      </c>
      <c r="C89" s="6" t="s">
        <v>12</v>
      </c>
      <c r="D89" s="6" t="s">
        <v>13</v>
      </c>
      <c r="E89" s="6" t="s">
        <v>178</v>
      </c>
      <c r="F89" s="6" t="s">
        <v>254</v>
      </c>
      <c r="G89" s="6" t="s">
        <v>16</v>
      </c>
      <c r="H89" s="5">
        <v>2</v>
      </c>
      <c r="I89" s="6" t="s">
        <v>255</v>
      </c>
      <c r="J89" s="5">
        <v>920</v>
      </c>
    </row>
    <row r="90" s="2" customFormat="1" spans="1:10">
      <c r="A90" s="6">
        <f>88</f>
        <v>88</v>
      </c>
      <c r="B90" s="6" t="s">
        <v>256</v>
      </c>
      <c r="C90" s="6" t="s">
        <v>12</v>
      </c>
      <c r="D90" s="6" t="s">
        <v>13</v>
      </c>
      <c r="E90" s="6" t="s">
        <v>178</v>
      </c>
      <c r="F90" s="6" t="s">
        <v>257</v>
      </c>
      <c r="G90" s="6" t="s">
        <v>16</v>
      </c>
      <c r="H90" s="5">
        <v>1</v>
      </c>
      <c r="I90" s="6" t="s">
        <v>257</v>
      </c>
      <c r="J90" s="5">
        <v>238</v>
      </c>
    </row>
    <row r="91" s="2" customFormat="1" spans="1:10">
      <c r="A91" s="6">
        <f>89</f>
        <v>89</v>
      </c>
      <c r="B91" s="6" t="s">
        <v>258</v>
      </c>
      <c r="C91" s="6" t="s">
        <v>12</v>
      </c>
      <c r="D91" s="6" t="s">
        <v>13</v>
      </c>
      <c r="E91" s="6" t="s">
        <v>178</v>
      </c>
      <c r="F91" s="6" t="s">
        <v>259</v>
      </c>
      <c r="G91" s="6" t="s">
        <v>16</v>
      </c>
      <c r="H91" s="5">
        <v>1</v>
      </c>
      <c r="I91" s="6" t="s">
        <v>259</v>
      </c>
      <c r="J91" s="5">
        <v>460</v>
      </c>
    </row>
    <row r="92" s="2" customFormat="1" spans="1:10">
      <c r="A92" s="6">
        <f>90</f>
        <v>90</v>
      </c>
      <c r="B92" s="6" t="s">
        <v>260</v>
      </c>
      <c r="C92" s="6" t="s">
        <v>12</v>
      </c>
      <c r="D92" s="6" t="s">
        <v>13</v>
      </c>
      <c r="E92" s="6" t="s">
        <v>178</v>
      </c>
      <c r="F92" s="6" t="s">
        <v>261</v>
      </c>
      <c r="G92" s="6" t="s">
        <v>16</v>
      </c>
      <c r="H92" s="5">
        <v>1</v>
      </c>
      <c r="I92" s="6" t="s">
        <v>261</v>
      </c>
      <c r="J92" s="5">
        <v>238</v>
      </c>
    </row>
    <row r="93" s="2" customFormat="1" spans="1:10">
      <c r="A93" s="6">
        <f>91</f>
        <v>91</v>
      </c>
      <c r="B93" s="6" t="s">
        <v>262</v>
      </c>
      <c r="C93" s="6" t="s">
        <v>12</v>
      </c>
      <c r="D93" s="6" t="s">
        <v>13</v>
      </c>
      <c r="E93" s="6" t="s">
        <v>178</v>
      </c>
      <c r="F93" s="6" t="s">
        <v>263</v>
      </c>
      <c r="G93" s="6" t="s">
        <v>16</v>
      </c>
      <c r="H93" s="5">
        <v>3</v>
      </c>
      <c r="I93" s="6" t="s">
        <v>264</v>
      </c>
      <c r="J93" s="5">
        <v>1320</v>
      </c>
    </row>
    <row r="94" s="2" customFormat="1" spans="1:10">
      <c r="A94" s="6">
        <f>92</f>
        <v>92</v>
      </c>
      <c r="B94" s="6" t="s">
        <v>265</v>
      </c>
      <c r="C94" s="6" t="s">
        <v>12</v>
      </c>
      <c r="D94" s="6" t="s">
        <v>13</v>
      </c>
      <c r="E94" s="6" t="s">
        <v>178</v>
      </c>
      <c r="F94" s="6" t="s">
        <v>266</v>
      </c>
      <c r="G94" s="6" t="s">
        <v>16</v>
      </c>
      <c r="H94" s="5">
        <v>1</v>
      </c>
      <c r="I94" s="6" t="s">
        <v>266</v>
      </c>
      <c r="J94" s="5">
        <v>540</v>
      </c>
    </row>
    <row r="95" s="2" customFormat="1" spans="1:10">
      <c r="A95" s="6">
        <f>93</f>
        <v>93</v>
      </c>
      <c r="B95" s="6" t="s">
        <v>267</v>
      </c>
      <c r="C95" s="6" t="s">
        <v>12</v>
      </c>
      <c r="D95" s="6" t="s">
        <v>13</v>
      </c>
      <c r="E95" s="6" t="s">
        <v>178</v>
      </c>
      <c r="F95" s="6" t="s">
        <v>268</v>
      </c>
      <c r="G95" s="6" t="s">
        <v>16</v>
      </c>
      <c r="H95" s="5">
        <v>1</v>
      </c>
      <c r="I95" s="6" t="s">
        <v>268</v>
      </c>
      <c r="J95" s="5">
        <v>570</v>
      </c>
    </row>
    <row r="96" s="2" customFormat="1" spans="1:10">
      <c r="A96" s="6">
        <f>94</f>
        <v>94</v>
      </c>
      <c r="B96" s="6" t="s">
        <v>269</v>
      </c>
      <c r="C96" s="6" t="s">
        <v>12</v>
      </c>
      <c r="D96" s="6" t="s">
        <v>13</v>
      </c>
      <c r="E96" s="6" t="s">
        <v>178</v>
      </c>
      <c r="F96" s="6" t="s">
        <v>270</v>
      </c>
      <c r="G96" s="6" t="s">
        <v>16</v>
      </c>
      <c r="H96" s="5">
        <v>1</v>
      </c>
      <c r="I96" s="6" t="s">
        <v>270</v>
      </c>
      <c r="J96" s="5">
        <v>270</v>
      </c>
    </row>
    <row r="97" s="2" customFormat="1" ht="27" spans="1:10">
      <c r="A97" s="6">
        <f>95</f>
        <v>95</v>
      </c>
      <c r="B97" s="6" t="s">
        <v>271</v>
      </c>
      <c r="C97" s="6" t="s">
        <v>12</v>
      </c>
      <c r="D97" s="6" t="s">
        <v>13</v>
      </c>
      <c r="E97" s="6" t="s">
        <v>178</v>
      </c>
      <c r="F97" s="6" t="s">
        <v>272</v>
      </c>
      <c r="G97" s="6" t="s">
        <v>16</v>
      </c>
      <c r="H97" s="5">
        <v>5</v>
      </c>
      <c r="I97" s="6" t="s">
        <v>273</v>
      </c>
      <c r="J97" s="5">
        <v>2800</v>
      </c>
    </row>
    <row r="98" s="2" customFormat="1" spans="1:10">
      <c r="A98" s="6">
        <f>96</f>
        <v>96</v>
      </c>
      <c r="B98" s="6" t="s">
        <v>274</v>
      </c>
      <c r="C98" s="6" t="s">
        <v>12</v>
      </c>
      <c r="D98" s="6" t="s">
        <v>13</v>
      </c>
      <c r="E98" s="6" t="s">
        <v>178</v>
      </c>
      <c r="F98" s="6" t="s">
        <v>275</v>
      </c>
      <c r="G98" s="6" t="s">
        <v>16</v>
      </c>
      <c r="H98" s="5">
        <v>2</v>
      </c>
      <c r="I98" s="6" t="s">
        <v>276</v>
      </c>
      <c r="J98" s="5">
        <v>520</v>
      </c>
    </row>
    <row r="99" s="2" customFormat="1" spans="1:10">
      <c r="A99" s="6">
        <f>97</f>
        <v>97</v>
      </c>
      <c r="B99" s="6" t="s">
        <v>277</v>
      </c>
      <c r="C99" s="6" t="s">
        <v>12</v>
      </c>
      <c r="D99" s="6" t="s">
        <v>13</v>
      </c>
      <c r="E99" s="6" t="s">
        <v>178</v>
      </c>
      <c r="F99" s="6" t="s">
        <v>278</v>
      </c>
      <c r="G99" s="6" t="s">
        <v>16</v>
      </c>
      <c r="H99" s="5">
        <v>2</v>
      </c>
      <c r="I99" s="6" t="s">
        <v>279</v>
      </c>
      <c r="J99" s="5">
        <v>880</v>
      </c>
    </row>
    <row r="100" s="2" customFormat="1" spans="1:10">
      <c r="A100" s="6">
        <f>98</f>
        <v>98</v>
      </c>
      <c r="B100" s="6" t="s">
        <v>280</v>
      </c>
      <c r="C100" s="6" t="s">
        <v>12</v>
      </c>
      <c r="D100" s="6" t="s">
        <v>13</v>
      </c>
      <c r="E100" s="6" t="s">
        <v>281</v>
      </c>
      <c r="F100" s="6" t="s">
        <v>282</v>
      </c>
      <c r="G100" s="6" t="s">
        <v>16</v>
      </c>
      <c r="H100" s="5">
        <v>1</v>
      </c>
      <c r="I100" s="6" t="s">
        <v>282</v>
      </c>
      <c r="J100" s="5">
        <v>620</v>
      </c>
    </row>
    <row r="101" s="2" customFormat="1" spans="1:10">
      <c r="A101" s="6">
        <f>99</f>
        <v>99</v>
      </c>
      <c r="B101" s="6" t="s">
        <v>283</v>
      </c>
      <c r="C101" s="6" t="s">
        <v>12</v>
      </c>
      <c r="D101" s="6" t="s">
        <v>13</v>
      </c>
      <c r="E101" s="6" t="s">
        <v>281</v>
      </c>
      <c r="F101" s="6" t="s">
        <v>284</v>
      </c>
      <c r="G101" s="6" t="s">
        <v>16</v>
      </c>
      <c r="H101" s="5">
        <v>1</v>
      </c>
      <c r="I101" s="6" t="s">
        <v>284</v>
      </c>
      <c r="J101" s="5">
        <v>560</v>
      </c>
    </row>
    <row r="102" s="2" customFormat="1" ht="27" spans="1:10">
      <c r="A102" s="6">
        <f>100</f>
        <v>100</v>
      </c>
      <c r="B102" s="6" t="s">
        <v>285</v>
      </c>
      <c r="C102" s="6" t="s">
        <v>12</v>
      </c>
      <c r="D102" s="6" t="s">
        <v>13</v>
      </c>
      <c r="E102" s="6" t="s">
        <v>281</v>
      </c>
      <c r="F102" s="6" t="s">
        <v>286</v>
      </c>
      <c r="G102" s="6" t="s">
        <v>16</v>
      </c>
      <c r="H102" s="5">
        <v>6</v>
      </c>
      <c r="I102" s="6" t="s">
        <v>287</v>
      </c>
      <c r="J102" s="5">
        <v>2940</v>
      </c>
    </row>
    <row r="103" s="2" customFormat="1" spans="1:10">
      <c r="A103" s="6">
        <f>101</f>
        <v>101</v>
      </c>
      <c r="B103" s="6" t="s">
        <v>288</v>
      </c>
      <c r="C103" s="6" t="s">
        <v>12</v>
      </c>
      <c r="D103" s="6" t="s">
        <v>13</v>
      </c>
      <c r="E103" s="6" t="s">
        <v>281</v>
      </c>
      <c r="F103" s="6" t="s">
        <v>289</v>
      </c>
      <c r="G103" s="6" t="s">
        <v>16</v>
      </c>
      <c r="H103" s="5">
        <v>1</v>
      </c>
      <c r="I103" s="6" t="s">
        <v>289</v>
      </c>
      <c r="J103" s="5">
        <v>320</v>
      </c>
    </row>
    <row r="104" s="2" customFormat="1" spans="1:10">
      <c r="A104" s="6">
        <f>102</f>
        <v>102</v>
      </c>
      <c r="B104" s="6" t="s">
        <v>290</v>
      </c>
      <c r="C104" s="6" t="s">
        <v>12</v>
      </c>
      <c r="D104" s="6" t="s">
        <v>13</v>
      </c>
      <c r="E104" s="6" t="s">
        <v>281</v>
      </c>
      <c r="F104" s="6" t="s">
        <v>291</v>
      </c>
      <c r="G104" s="6" t="s">
        <v>16</v>
      </c>
      <c r="H104" s="5">
        <v>2</v>
      </c>
      <c r="I104" s="6" t="s">
        <v>292</v>
      </c>
      <c r="J104" s="5">
        <v>680</v>
      </c>
    </row>
    <row r="105" s="2" customFormat="1" spans="1:10">
      <c r="A105" s="6">
        <f>103</f>
        <v>103</v>
      </c>
      <c r="B105" s="6" t="s">
        <v>293</v>
      </c>
      <c r="C105" s="6" t="s">
        <v>12</v>
      </c>
      <c r="D105" s="6" t="s">
        <v>13</v>
      </c>
      <c r="E105" s="6" t="s">
        <v>281</v>
      </c>
      <c r="F105" s="6" t="s">
        <v>294</v>
      </c>
      <c r="G105" s="6" t="s">
        <v>16</v>
      </c>
      <c r="H105" s="5">
        <v>3</v>
      </c>
      <c r="I105" s="6" t="s">
        <v>295</v>
      </c>
      <c r="J105" s="5">
        <v>1620</v>
      </c>
    </row>
    <row r="106" s="2" customFormat="1" spans="1:10">
      <c r="A106" s="6">
        <f>104</f>
        <v>104</v>
      </c>
      <c r="B106" s="6" t="s">
        <v>296</v>
      </c>
      <c r="C106" s="6" t="s">
        <v>12</v>
      </c>
      <c r="D106" s="6" t="s">
        <v>13</v>
      </c>
      <c r="E106" s="6" t="s">
        <v>281</v>
      </c>
      <c r="F106" s="6" t="s">
        <v>297</v>
      </c>
      <c r="G106" s="6" t="s">
        <v>16</v>
      </c>
      <c r="H106" s="5">
        <v>2</v>
      </c>
      <c r="I106" s="6" t="s">
        <v>298</v>
      </c>
      <c r="J106" s="5">
        <v>1180</v>
      </c>
    </row>
    <row r="107" s="2" customFormat="1" ht="27" spans="1:10">
      <c r="A107" s="6">
        <f>105</f>
        <v>105</v>
      </c>
      <c r="B107" s="6" t="s">
        <v>299</v>
      </c>
      <c r="C107" s="6" t="s">
        <v>12</v>
      </c>
      <c r="D107" s="6" t="s">
        <v>13</v>
      </c>
      <c r="E107" s="6" t="s">
        <v>281</v>
      </c>
      <c r="F107" s="6" t="s">
        <v>300</v>
      </c>
      <c r="G107" s="6" t="s">
        <v>16</v>
      </c>
      <c r="H107" s="5">
        <v>5</v>
      </c>
      <c r="I107" s="6" t="s">
        <v>301</v>
      </c>
      <c r="J107" s="5">
        <v>660</v>
      </c>
    </row>
    <row r="108" s="2" customFormat="1" spans="1:10">
      <c r="A108" s="6">
        <f>106</f>
        <v>106</v>
      </c>
      <c r="B108" s="6" t="s">
        <v>302</v>
      </c>
      <c r="C108" s="6" t="s">
        <v>12</v>
      </c>
      <c r="D108" s="6" t="s">
        <v>13</v>
      </c>
      <c r="E108" s="6" t="s">
        <v>281</v>
      </c>
      <c r="F108" s="6" t="s">
        <v>303</v>
      </c>
      <c r="G108" s="6" t="s">
        <v>16</v>
      </c>
      <c r="H108" s="5">
        <v>1</v>
      </c>
      <c r="I108" s="6" t="s">
        <v>303</v>
      </c>
      <c r="J108" s="5">
        <v>460</v>
      </c>
    </row>
    <row r="109" s="2" customFormat="1" spans="1:10">
      <c r="A109" s="6">
        <f>107</f>
        <v>107</v>
      </c>
      <c r="B109" s="6" t="s">
        <v>304</v>
      </c>
      <c r="C109" s="6" t="s">
        <v>12</v>
      </c>
      <c r="D109" s="6" t="s">
        <v>13</v>
      </c>
      <c r="E109" s="6" t="s">
        <v>281</v>
      </c>
      <c r="F109" s="6" t="s">
        <v>305</v>
      </c>
      <c r="G109" s="6" t="s">
        <v>16</v>
      </c>
      <c r="H109" s="5">
        <v>2</v>
      </c>
      <c r="I109" s="6" t="s">
        <v>306</v>
      </c>
      <c r="J109" s="5">
        <v>520</v>
      </c>
    </row>
    <row r="110" s="2" customFormat="1" spans="1:10">
      <c r="A110" s="6">
        <f>108</f>
        <v>108</v>
      </c>
      <c r="B110" s="6" t="s">
        <v>307</v>
      </c>
      <c r="C110" s="6" t="s">
        <v>12</v>
      </c>
      <c r="D110" s="6" t="s">
        <v>13</v>
      </c>
      <c r="E110" s="6" t="s">
        <v>281</v>
      </c>
      <c r="F110" s="6" t="s">
        <v>308</v>
      </c>
      <c r="G110" s="6" t="s">
        <v>16</v>
      </c>
      <c r="H110" s="5">
        <v>1</v>
      </c>
      <c r="I110" s="6" t="s">
        <v>308</v>
      </c>
      <c r="J110" s="5">
        <v>573</v>
      </c>
    </row>
    <row r="111" s="2" customFormat="1" spans="1:10">
      <c r="A111" s="6">
        <f>109</f>
        <v>109</v>
      </c>
      <c r="B111" s="6" t="s">
        <v>309</v>
      </c>
      <c r="C111" s="6" t="s">
        <v>12</v>
      </c>
      <c r="D111" s="6" t="s">
        <v>13</v>
      </c>
      <c r="E111" s="6" t="s">
        <v>281</v>
      </c>
      <c r="F111" s="6" t="s">
        <v>310</v>
      </c>
      <c r="G111" s="6" t="s">
        <v>16</v>
      </c>
      <c r="H111" s="5">
        <v>1</v>
      </c>
      <c r="I111" s="6" t="s">
        <v>310</v>
      </c>
      <c r="J111" s="5">
        <v>540</v>
      </c>
    </row>
    <row r="112" s="2" customFormat="1" spans="1:10">
      <c r="A112" s="6">
        <f>110</f>
        <v>110</v>
      </c>
      <c r="B112" s="6" t="s">
        <v>311</v>
      </c>
      <c r="C112" s="6" t="s">
        <v>12</v>
      </c>
      <c r="D112" s="6" t="s">
        <v>13</v>
      </c>
      <c r="E112" s="6" t="s">
        <v>281</v>
      </c>
      <c r="F112" s="6" t="s">
        <v>312</v>
      </c>
      <c r="G112" s="6" t="s">
        <v>16</v>
      </c>
      <c r="H112" s="5">
        <v>2</v>
      </c>
      <c r="I112" s="6" t="s">
        <v>313</v>
      </c>
      <c r="J112" s="5">
        <v>1060</v>
      </c>
    </row>
    <row r="113" s="2" customFormat="1" spans="1:10">
      <c r="A113" s="6">
        <f>111</f>
        <v>111</v>
      </c>
      <c r="B113" s="6" t="s">
        <v>314</v>
      </c>
      <c r="C113" s="6" t="s">
        <v>12</v>
      </c>
      <c r="D113" s="6" t="s">
        <v>13</v>
      </c>
      <c r="E113" s="6" t="s">
        <v>281</v>
      </c>
      <c r="F113" s="6" t="s">
        <v>315</v>
      </c>
      <c r="G113" s="6" t="s">
        <v>16</v>
      </c>
      <c r="H113" s="5">
        <v>3</v>
      </c>
      <c r="I113" s="6" t="s">
        <v>316</v>
      </c>
      <c r="J113" s="5">
        <v>820</v>
      </c>
    </row>
    <row r="114" s="2" customFormat="1" spans="1:10">
      <c r="A114" s="6">
        <f>112</f>
        <v>112</v>
      </c>
      <c r="B114" s="6" t="s">
        <v>317</v>
      </c>
      <c r="C114" s="6" t="s">
        <v>12</v>
      </c>
      <c r="D114" s="6" t="s">
        <v>13</v>
      </c>
      <c r="E114" s="6" t="s">
        <v>281</v>
      </c>
      <c r="F114" s="6" t="s">
        <v>318</v>
      </c>
      <c r="G114" s="6" t="s">
        <v>16</v>
      </c>
      <c r="H114" s="5">
        <v>2</v>
      </c>
      <c r="I114" s="6" t="s">
        <v>319</v>
      </c>
      <c r="J114" s="5">
        <v>1080</v>
      </c>
    </row>
    <row r="115" s="2" customFormat="1" ht="27" spans="1:10">
      <c r="A115" s="6">
        <f>113</f>
        <v>113</v>
      </c>
      <c r="B115" s="6" t="s">
        <v>320</v>
      </c>
      <c r="C115" s="6" t="s">
        <v>12</v>
      </c>
      <c r="D115" s="6" t="s">
        <v>13</v>
      </c>
      <c r="E115" s="6" t="s">
        <v>281</v>
      </c>
      <c r="F115" s="6" t="s">
        <v>321</v>
      </c>
      <c r="G115" s="6" t="s">
        <v>16</v>
      </c>
      <c r="H115" s="5">
        <v>4</v>
      </c>
      <c r="I115" s="6" t="s">
        <v>322</v>
      </c>
      <c r="J115" s="5">
        <v>1660</v>
      </c>
    </row>
    <row r="116" s="2" customFormat="1" spans="1:10">
      <c r="A116" s="6">
        <f>114</f>
        <v>114</v>
      </c>
      <c r="B116" s="6" t="s">
        <v>323</v>
      </c>
      <c r="C116" s="6" t="s">
        <v>12</v>
      </c>
      <c r="D116" s="6" t="s">
        <v>13</v>
      </c>
      <c r="E116" s="6" t="s">
        <v>281</v>
      </c>
      <c r="F116" s="6" t="s">
        <v>324</v>
      </c>
      <c r="G116" s="6" t="s">
        <v>16</v>
      </c>
      <c r="H116" s="5">
        <v>1</v>
      </c>
      <c r="I116" s="6" t="s">
        <v>324</v>
      </c>
      <c r="J116" s="5">
        <v>540</v>
      </c>
    </row>
    <row r="117" s="2" customFormat="1" spans="1:10">
      <c r="A117" s="6">
        <f>115</f>
        <v>115</v>
      </c>
      <c r="B117" s="6" t="s">
        <v>325</v>
      </c>
      <c r="C117" s="6" t="s">
        <v>12</v>
      </c>
      <c r="D117" s="6" t="s">
        <v>13</v>
      </c>
      <c r="E117" s="6" t="s">
        <v>281</v>
      </c>
      <c r="F117" s="6" t="s">
        <v>326</v>
      </c>
      <c r="G117" s="6" t="s">
        <v>16</v>
      </c>
      <c r="H117" s="5">
        <v>3</v>
      </c>
      <c r="I117" s="6" t="s">
        <v>327</v>
      </c>
      <c r="J117" s="5">
        <v>1320</v>
      </c>
    </row>
    <row r="118" s="2" customFormat="1" spans="1:10">
      <c r="A118" s="6">
        <f>116</f>
        <v>116</v>
      </c>
      <c r="B118" s="6" t="s">
        <v>328</v>
      </c>
      <c r="C118" s="6" t="s">
        <v>12</v>
      </c>
      <c r="D118" s="6" t="s">
        <v>13</v>
      </c>
      <c r="E118" s="6" t="s">
        <v>281</v>
      </c>
      <c r="F118" s="6" t="s">
        <v>329</v>
      </c>
      <c r="G118" s="6" t="s">
        <v>16</v>
      </c>
      <c r="H118" s="5">
        <v>1</v>
      </c>
      <c r="I118" s="6" t="s">
        <v>329</v>
      </c>
      <c r="J118" s="5">
        <v>560</v>
      </c>
    </row>
    <row r="119" s="2" customFormat="1" spans="1:10">
      <c r="A119" s="6">
        <f>117</f>
        <v>117</v>
      </c>
      <c r="B119" s="6" t="s">
        <v>330</v>
      </c>
      <c r="C119" s="6" t="s">
        <v>12</v>
      </c>
      <c r="D119" s="6" t="s">
        <v>13</v>
      </c>
      <c r="E119" s="6" t="s">
        <v>281</v>
      </c>
      <c r="F119" s="6" t="s">
        <v>331</v>
      </c>
      <c r="G119" s="6" t="s">
        <v>16</v>
      </c>
      <c r="H119" s="5">
        <v>1</v>
      </c>
      <c r="I119" s="6" t="s">
        <v>331</v>
      </c>
      <c r="J119" s="5">
        <v>560</v>
      </c>
    </row>
    <row r="120" s="2" customFormat="1" spans="1:10">
      <c r="A120" s="6">
        <f>118</f>
        <v>118</v>
      </c>
      <c r="B120" s="6" t="s">
        <v>332</v>
      </c>
      <c r="C120" s="6" t="s">
        <v>12</v>
      </c>
      <c r="D120" s="6" t="s">
        <v>13</v>
      </c>
      <c r="E120" s="6" t="s">
        <v>281</v>
      </c>
      <c r="F120" s="6" t="s">
        <v>333</v>
      </c>
      <c r="G120" s="6" t="s">
        <v>16</v>
      </c>
      <c r="H120" s="5">
        <v>1</v>
      </c>
      <c r="I120" s="6" t="s">
        <v>333</v>
      </c>
      <c r="J120" s="5">
        <v>560</v>
      </c>
    </row>
    <row r="121" s="2" customFormat="1" spans="1:10">
      <c r="A121" s="6">
        <f>119</f>
        <v>119</v>
      </c>
      <c r="B121" s="6" t="s">
        <v>334</v>
      </c>
      <c r="C121" s="6" t="s">
        <v>12</v>
      </c>
      <c r="D121" s="6" t="s">
        <v>13</v>
      </c>
      <c r="E121" s="6" t="s">
        <v>335</v>
      </c>
      <c r="F121" s="6" t="s">
        <v>336</v>
      </c>
      <c r="G121" s="6" t="s">
        <v>16</v>
      </c>
      <c r="H121" s="5">
        <v>2</v>
      </c>
      <c r="I121" s="6" t="s">
        <v>337</v>
      </c>
      <c r="J121" s="5">
        <v>430</v>
      </c>
    </row>
    <row r="122" s="2" customFormat="1" spans="1:10">
      <c r="A122" s="6">
        <f>120</f>
        <v>120</v>
      </c>
      <c r="B122" s="6" t="s">
        <v>338</v>
      </c>
      <c r="C122" s="6" t="s">
        <v>12</v>
      </c>
      <c r="D122" s="6" t="s">
        <v>13</v>
      </c>
      <c r="E122" s="6" t="s">
        <v>335</v>
      </c>
      <c r="F122" s="6" t="s">
        <v>339</v>
      </c>
      <c r="G122" s="6" t="s">
        <v>16</v>
      </c>
      <c r="H122" s="5">
        <v>3</v>
      </c>
      <c r="I122" s="6" t="s">
        <v>340</v>
      </c>
      <c r="J122" s="5">
        <v>970</v>
      </c>
    </row>
    <row r="123" s="2" customFormat="1" spans="1:10">
      <c r="A123" s="6">
        <f>121</f>
        <v>121</v>
      </c>
      <c r="B123" s="6" t="s">
        <v>341</v>
      </c>
      <c r="C123" s="6" t="s">
        <v>12</v>
      </c>
      <c r="D123" s="6" t="s">
        <v>13</v>
      </c>
      <c r="E123" s="6" t="s">
        <v>335</v>
      </c>
      <c r="F123" s="6" t="s">
        <v>342</v>
      </c>
      <c r="G123" s="6" t="s">
        <v>16</v>
      </c>
      <c r="H123" s="5">
        <v>1</v>
      </c>
      <c r="I123" s="6" t="s">
        <v>342</v>
      </c>
      <c r="J123" s="5">
        <v>573</v>
      </c>
    </row>
    <row r="124" s="2" customFormat="1" ht="27" spans="1:10">
      <c r="A124" s="6">
        <f>122</f>
        <v>122</v>
      </c>
      <c r="B124" s="6" t="s">
        <v>343</v>
      </c>
      <c r="C124" s="6" t="s">
        <v>12</v>
      </c>
      <c r="D124" s="6" t="s">
        <v>13</v>
      </c>
      <c r="E124" s="6" t="s">
        <v>335</v>
      </c>
      <c r="F124" s="6" t="s">
        <v>344</v>
      </c>
      <c r="G124" s="6" t="s">
        <v>16</v>
      </c>
      <c r="H124" s="5">
        <v>6</v>
      </c>
      <c r="I124" s="6" t="s">
        <v>345</v>
      </c>
      <c r="J124" s="5">
        <v>1220</v>
      </c>
    </row>
    <row r="125" s="2" customFormat="1" spans="1:10">
      <c r="A125" s="6">
        <f>123</f>
        <v>123</v>
      </c>
      <c r="B125" s="6" t="s">
        <v>346</v>
      </c>
      <c r="C125" s="6" t="s">
        <v>12</v>
      </c>
      <c r="D125" s="6" t="s">
        <v>13</v>
      </c>
      <c r="E125" s="6" t="s">
        <v>335</v>
      </c>
      <c r="F125" s="6" t="s">
        <v>347</v>
      </c>
      <c r="G125" s="6" t="s">
        <v>16</v>
      </c>
      <c r="H125" s="5">
        <v>1</v>
      </c>
      <c r="I125" s="6" t="s">
        <v>347</v>
      </c>
      <c r="J125" s="5">
        <v>573</v>
      </c>
    </row>
    <row r="126" s="2" customFormat="1" spans="1:10">
      <c r="A126" s="6">
        <f>124</f>
        <v>124</v>
      </c>
      <c r="B126" s="6" t="s">
        <v>348</v>
      </c>
      <c r="C126" s="6" t="s">
        <v>12</v>
      </c>
      <c r="D126" s="6" t="s">
        <v>13</v>
      </c>
      <c r="E126" s="6" t="s">
        <v>335</v>
      </c>
      <c r="F126" s="6" t="s">
        <v>349</v>
      </c>
      <c r="G126" s="6" t="s">
        <v>16</v>
      </c>
      <c r="H126" s="5">
        <v>3</v>
      </c>
      <c r="I126" s="6" t="s">
        <v>350</v>
      </c>
      <c r="J126" s="5">
        <v>720</v>
      </c>
    </row>
    <row r="127" s="2" customFormat="1" spans="1:10">
      <c r="A127" s="6">
        <f>125</f>
        <v>125</v>
      </c>
      <c r="B127" s="6" t="s">
        <v>351</v>
      </c>
      <c r="C127" s="6" t="s">
        <v>12</v>
      </c>
      <c r="D127" s="6" t="s">
        <v>13</v>
      </c>
      <c r="E127" s="6" t="s">
        <v>335</v>
      </c>
      <c r="F127" s="6" t="s">
        <v>352</v>
      </c>
      <c r="G127" s="6" t="s">
        <v>16</v>
      </c>
      <c r="H127" s="5">
        <v>1</v>
      </c>
      <c r="I127" s="6" t="s">
        <v>352</v>
      </c>
      <c r="J127" s="5">
        <v>340</v>
      </c>
    </row>
    <row r="128" s="2" customFormat="1" spans="1:10">
      <c r="A128" s="6">
        <f>126</f>
        <v>126</v>
      </c>
      <c r="B128" s="6" t="s">
        <v>353</v>
      </c>
      <c r="C128" s="6" t="s">
        <v>12</v>
      </c>
      <c r="D128" s="6" t="s">
        <v>13</v>
      </c>
      <c r="E128" s="6" t="s">
        <v>335</v>
      </c>
      <c r="F128" s="6" t="s">
        <v>354</v>
      </c>
      <c r="G128" s="6" t="s">
        <v>16</v>
      </c>
      <c r="H128" s="5">
        <v>1</v>
      </c>
      <c r="I128" s="6" t="s">
        <v>354</v>
      </c>
      <c r="J128" s="5">
        <v>205</v>
      </c>
    </row>
    <row r="129" s="2" customFormat="1" ht="27" spans="1:10">
      <c r="A129" s="6">
        <f>127</f>
        <v>127</v>
      </c>
      <c r="B129" s="6" t="s">
        <v>355</v>
      </c>
      <c r="C129" s="6" t="s">
        <v>12</v>
      </c>
      <c r="D129" s="6" t="s">
        <v>13</v>
      </c>
      <c r="E129" s="6" t="s">
        <v>335</v>
      </c>
      <c r="F129" s="6" t="s">
        <v>356</v>
      </c>
      <c r="G129" s="6" t="s">
        <v>16</v>
      </c>
      <c r="H129" s="5">
        <v>4</v>
      </c>
      <c r="I129" s="6" t="s">
        <v>357</v>
      </c>
      <c r="J129" s="5">
        <v>610</v>
      </c>
    </row>
    <row r="130" s="2" customFormat="1" spans="1:10">
      <c r="A130" s="6">
        <f>128</f>
        <v>128</v>
      </c>
      <c r="B130" s="6" t="s">
        <v>358</v>
      </c>
      <c r="C130" s="6" t="s">
        <v>12</v>
      </c>
      <c r="D130" s="6" t="s">
        <v>13</v>
      </c>
      <c r="E130" s="6" t="s">
        <v>335</v>
      </c>
      <c r="F130" s="6" t="s">
        <v>359</v>
      </c>
      <c r="G130" s="6" t="s">
        <v>16</v>
      </c>
      <c r="H130" s="5">
        <v>1</v>
      </c>
      <c r="I130" s="6" t="s">
        <v>359</v>
      </c>
      <c r="J130" s="5">
        <v>270</v>
      </c>
    </row>
    <row r="131" s="2" customFormat="1" spans="1:10">
      <c r="A131" s="6">
        <f>129</f>
        <v>129</v>
      </c>
      <c r="B131" s="6" t="s">
        <v>360</v>
      </c>
      <c r="C131" s="6" t="s">
        <v>12</v>
      </c>
      <c r="D131" s="6" t="s">
        <v>13</v>
      </c>
      <c r="E131" s="6" t="s">
        <v>335</v>
      </c>
      <c r="F131" s="6" t="s">
        <v>361</v>
      </c>
      <c r="G131" s="6" t="s">
        <v>16</v>
      </c>
      <c r="H131" s="5">
        <v>1</v>
      </c>
      <c r="I131" s="6" t="s">
        <v>361</v>
      </c>
      <c r="J131" s="5">
        <v>380</v>
      </c>
    </row>
    <row r="132" s="2" customFormat="1" spans="1:10">
      <c r="A132" s="6">
        <f>130</f>
        <v>130</v>
      </c>
      <c r="B132" s="6" t="s">
        <v>362</v>
      </c>
      <c r="C132" s="6" t="s">
        <v>12</v>
      </c>
      <c r="D132" s="6" t="s">
        <v>13</v>
      </c>
      <c r="E132" s="6" t="s">
        <v>335</v>
      </c>
      <c r="F132" s="6" t="s">
        <v>363</v>
      </c>
      <c r="G132" s="6" t="s">
        <v>16</v>
      </c>
      <c r="H132" s="5">
        <v>3</v>
      </c>
      <c r="I132" s="6" t="s">
        <v>364</v>
      </c>
      <c r="J132" s="5">
        <v>370</v>
      </c>
    </row>
    <row r="133" s="2" customFormat="1" spans="1:10">
      <c r="A133" s="6">
        <f>131</f>
        <v>131</v>
      </c>
      <c r="B133" s="6" t="s">
        <v>365</v>
      </c>
      <c r="C133" s="6" t="s">
        <v>12</v>
      </c>
      <c r="D133" s="6" t="s">
        <v>13</v>
      </c>
      <c r="E133" s="6" t="s">
        <v>335</v>
      </c>
      <c r="F133" s="6" t="s">
        <v>366</v>
      </c>
      <c r="G133" s="6" t="s">
        <v>16</v>
      </c>
      <c r="H133" s="5">
        <v>1</v>
      </c>
      <c r="I133" s="6" t="s">
        <v>366</v>
      </c>
      <c r="J133" s="5">
        <v>270</v>
      </c>
    </row>
    <row r="134" s="2" customFormat="1" ht="27" spans="1:10">
      <c r="A134" s="6">
        <f>132</f>
        <v>132</v>
      </c>
      <c r="B134" s="6" t="s">
        <v>367</v>
      </c>
      <c r="C134" s="6" t="s">
        <v>12</v>
      </c>
      <c r="D134" s="6" t="s">
        <v>13</v>
      </c>
      <c r="E134" s="6" t="s">
        <v>335</v>
      </c>
      <c r="F134" s="6" t="s">
        <v>368</v>
      </c>
      <c r="G134" s="6" t="s">
        <v>16</v>
      </c>
      <c r="H134" s="5">
        <v>4</v>
      </c>
      <c r="I134" s="6" t="s">
        <v>369</v>
      </c>
      <c r="J134" s="5">
        <v>450</v>
      </c>
    </row>
    <row r="135" s="2" customFormat="1" spans="1:10">
      <c r="A135" s="6">
        <f>133</f>
        <v>133</v>
      </c>
      <c r="B135" s="6" t="s">
        <v>370</v>
      </c>
      <c r="C135" s="6" t="s">
        <v>12</v>
      </c>
      <c r="D135" s="6" t="s">
        <v>13</v>
      </c>
      <c r="E135" s="6" t="s">
        <v>335</v>
      </c>
      <c r="F135" s="6" t="s">
        <v>371</v>
      </c>
      <c r="G135" s="6" t="s">
        <v>16</v>
      </c>
      <c r="H135" s="5">
        <v>2</v>
      </c>
      <c r="I135" s="6" t="s">
        <v>372</v>
      </c>
      <c r="J135" s="5">
        <v>400</v>
      </c>
    </row>
    <row r="136" s="2" customFormat="1" spans="1:10">
      <c r="A136" s="6">
        <f>134</f>
        <v>134</v>
      </c>
      <c r="B136" s="6" t="s">
        <v>373</v>
      </c>
      <c r="C136" s="6" t="s">
        <v>12</v>
      </c>
      <c r="D136" s="6" t="s">
        <v>13</v>
      </c>
      <c r="E136" s="6" t="s">
        <v>335</v>
      </c>
      <c r="F136" s="6" t="s">
        <v>374</v>
      </c>
      <c r="G136" s="6" t="s">
        <v>16</v>
      </c>
      <c r="H136" s="5">
        <v>3</v>
      </c>
      <c r="I136" s="6" t="s">
        <v>375</v>
      </c>
      <c r="J136" s="5">
        <v>930</v>
      </c>
    </row>
    <row r="137" s="2" customFormat="1" spans="1:10">
      <c r="A137" s="6">
        <f>135</f>
        <v>135</v>
      </c>
      <c r="B137" s="6" t="s">
        <v>376</v>
      </c>
      <c r="C137" s="6" t="s">
        <v>12</v>
      </c>
      <c r="D137" s="6" t="s">
        <v>13</v>
      </c>
      <c r="E137" s="6" t="s">
        <v>335</v>
      </c>
      <c r="F137" s="6" t="s">
        <v>377</v>
      </c>
      <c r="G137" s="6" t="s">
        <v>16</v>
      </c>
      <c r="H137" s="5">
        <v>2</v>
      </c>
      <c r="I137" s="6" t="s">
        <v>378</v>
      </c>
      <c r="J137" s="5">
        <v>310</v>
      </c>
    </row>
    <row r="138" s="2" customFormat="1" spans="1:10">
      <c r="A138" s="6">
        <f>136</f>
        <v>136</v>
      </c>
      <c r="B138" s="6" t="s">
        <v>379</v>
      </c>
      <c r="C138" s="6" t="s">
        <v>12</v>
      </c>
      <c r="D138" s="6" t="s">
        <v>13</v>
      </c>
      <c r="E138" s="6" t="s">
        <v>335</v>
      </c>
      <c r="F138" s="6" t="s">
        <v>380</v>
      </c>
      <c r="G138" s="6" t="s">
        <v>16</v>
      </c>
      <c r="H138" s="5">
        <v>1</v>
      </c>
      <c r="I138" s="6" t="s">
        <v>380</v>
      </c>
      <c r="J138" s="5">
        <v>205</v>
      </c>
    </row>
    <row r="139" s="2" customFormat="1" spans="1:10">
      <c r="A139" s="6">
        <f>137</f>
        <v>137</v>
      </c>
      <c r="B139" s="6" t="s">
        <v>381</v>
      </c>
      <c r="C139" s="6" t="s">
        <v>12</v>
      </c>
      <c r="D139" s="6" t="s">
        <v>13</v>
      </c>
      <c r="E139" s="6" t="s">
        <v>335</v>
      </c>
      <c r="F139" s="6" t="s">
        <v>382</v>
      </c>
      <c r="G139" s="6" t="s">
        <v>16</v>
      </c>
      <c r="H139" s="5">
        <v>2</v>
      </c>
      <c r="I139" s="6" t="s">
        <v>383</v>
      </c>
      <c r="J139" s="5">
        <v>370</v>
      </c>
    </row>
    <row r="140" s="2" customFormat="1" ht="27" spans="1:10">
      <c r="A140" s="6">
        <f>138</f>
        <v>138</v>
      </c>
      <c r="B140" s="6" t="s">
        <v>384</v>
      </c>
      <c r="C140" s="6" t="s">
        <v>12</v>
      </c>
      <c r="D140" s="6" t="s">
        <v>13</v>
      </c>
      <c r="E140" s="6" t="s">
        <v>335</v>
      </c>
      <c r="F140" s="6" t="s">
        <v>385</v>
      </c>
      <c r="G140" s="6" t="s">
        <v>16</v>
      </c>
      <c r="H140" s="5">
        <v>6</v>
      </c>
      <c r="I140" s="6" t="s">
        <v>386</v>
      </c>
      <c r="J140" s="5">
        <v>885</v>
      </c>
    </row>
    <row r="141" s="2" customFormat="1" spans="1:10">
      <c r="A141" s="6">
        <f>139</f>
        <v>139</v>
      </c>
      <c r="B141" s="6" t="s">
        <v>387</v>
      </c>
      <c r="C141" s="6" t="s">
        <v>12</v>
      </c>
      <c r="D141" s="6" t="s">
        <v>13</v>
      </c>
      <c r="E141" s="6" t="s">
        <v>335</v>
      </c>
      <c r="F141" s="6" t="s">
        <v>388</v>
      </c>
      <c r="G141" s="6" t="s">
        <v>16</v>
      </c>
      <c r="H141" s="5">
        <v>1</v>
      </c>
      <c r="I141" s="6" t="s">
        <v>388</v>
      </c>
      <c r="J141" s="5">
        <v>260</v>
      </c>
    </row>
    <row r="142" s="2" customFormat="1" spans="1:10">
      <c r="A142" s="6">
        <f>140</f>
        <v>140</v>
      </c>
      <c r="B142" s="6" t="s">
        <v>389</v>
      </c>
      <c r="C142" s="6" t="s">
        <v>12</v>
      </c>
      <c r="D142" s="6" t="s">
        <v>13</v>
      </c>
      <c r="E142" s="6" t="s">
        <v>335</v>
      </c>
      <c r="F142" s="6" t="s">
        <v>390</v>
      </c>
      <c r="G142" s="6" t="s">
        <v>16</v>
      </c>
      <c r="H142" s="5">
        <v>1</v>
      </c>
      <c r="I142" s="6" t="s">
        <v>390</v>
      </c>
      <c r="J142" s="5">
        <v>245</v>
      </c>
    </row>
    <row r="143" s="2" customFormat="1" spans="1:10">
      <c r="A143" s="6">
        <f>141</f>
        <v>141</v>
      </c>
      <c r="B143" s="6" t="s">
        <v>391</v>
      </c>
      <c r="C143" s="6" t="s">
        <v>12</v>
      </c>
      <c r="D143" s="6" t="s">
        <v>13</v>
      </c>
      <c r="E143" s="6" t="s">
        <v>335</v>
      </c>
      <c r="F143" s="6" t="s">
        <v>392</v>
      </c>
      <c r="G143" s="6" t="s">
        <v>16</v>
      </c>
      <c r="H143" s="5">
        <v>3</v>
      </c>
      <c r="I143" s="6" t="s">
        <v>393</v>
      </c>
      <c r="J143" s="5">
        <v>555</v>
      </c>
    </row>
    <row r="144" s="2" customFormat="1" ht="27" spans="1:10">
      <c r="A144" s="6">
        <f>142</f>
        <v>142</v>
      </c>
      <c r="B144" s="6" t="s">
        <v>394</v>
      </c>
      <c r="C144" s="6" t="s">
        <v>12</v>
      </c>
      <c r="D144" s="6" t="s">
        <v>13</v>
      </c>
      <c r="E144" s="6" t="s">
        <v>335</v>
      </c>
      <c r="F144" s="6" t="s">
        <v>395</v>
      </c>
      <c r="G144" s="6" t="s">
        <v>16</v>
      </c>
      <c r="H144" s="5">
        <v>6</v>
      </c>
      <c r="I144" s="6" t="s">
        <v>396</v>
      </c>
      <c r="J144" s="5">
        <v>1060</v>
      </c>
    </row>
    <row r="145" s="2" customFormat="1" spans="1:10">
      <c r="A145" s="6">
        <f>143</f>
        <v>143</v>
      </c>
      <c r="B145" s="6" t="s">
        <v>397</v>
      </c>
      <c r="C145" s="6" t="s">
        <v>12</v>
      </c>
      <c r="D145" s="6" t="s">
        <v>13</v>
      </c>
      <c r="E145" s="6" t="s">
        <v>335</v>
      </c>
      <c r="F145" s="6" t="s">
        <v>339</v>
      </c>
      <c r="G145" s="6" t="s">
        <v>16</v>
      </c>
      <c r="H145" s="5">
        <v>2</v>
      </c>
      <c r="I145" s="6" t="s">
        <v>398</v>
      </c>
      <c r="J145" s="5">
        <v>320</v>
      </c>
    </row>
    <row r="146" s="2" customFormat="1" spans="1:10">
      <c r="A146" s="6">
        <f>144</f>
        <v>144</v>
      </c>
      <c r="B146" s="6" t="s">
        <v>399</v>
      </c>
      <c r="C146" s="6" t="s">
        <v>12</v>
      </c>
      <c r="D146" s="6" t="s">
        <v>13</v>
      </c>
      <c r="E146" s="6" t="s">
        <v>335</v>
      </c>
      <c r="F146" s="6" t="s">
        <v>400</v>
      </c>
      <c r="G146" s="6" t="s">
        <v>16</v>
      </c>
      <c r="H146" s="5">
        <v>3</v>
      </c>
      <c r="I146" s="6" t="s">
        <v>401</v>
      </c>
      <c r="J146" s="5">
        <v>1040</v>
      </c>
    </row>
    <row r="147" s="2" customFormat="1" spans="1:10">
      <c r="A147" s="6">
        <f>145</f>
        <v>145</v>
      </c>
      <c r="B147" s="6" t="s">
        <v>402</v>
      </c>
      <c r="C147" s="6" t="s">
        <v>12</v>
      </c>
      <c r="D147" s="6" t="s">
        <v>13</v>
      </c>
      <c r="E147" s="6" t="s">
        <v>335</v>
      </c>
      <c r="F147" s="6" t="s">
        <v>403</v>
      </c>
      <c r="G147" s="6" t="s">
        <v>16</v>
      </c>
      <c r="H147" s="5">
        <v>2</v>
      </c>
      <c r="I147" s="6" t="s">
        <v>404</v>
      </c>
      <c r="J147" s="5">
        <v>880</v>
      </c>
    </row>
    <row r="148" s="2" customFormat="1" spans="1:10">
      <c r="A148" s="6">
        <f>146</f>
        <v>146</v>
      </c>
      <c r="B148" s="6" t="s">
        <v>405</v>
      </c>
      <c r="C148" s="6" t="s">
        <v>12</v>
      </c>
      <c r="D148" s="6" t="s">
        <v>13</v>
      </c>
      <c r="E148" s="6" t="s">
        <v>406</v>
      </c>
      <c r="F148" s="6" t="s">
        <v>407</v>
      </c>
      <c r="G148" s="6" t="s">
        <v>16</v>
      </c>
      <c r="H148" s="5">
        <v>1</v>
      </c>
      <c r="I148" s="6" t="s">
        <v>407</v>
      </c>
      <c r="J148" s="5">
        <v>620</v>
      </c>
    </row>
    <row r="149" s="2" customFormat="1" ht="27" spans="1:10">
      <c r="A149" s="6">
        <f>147</f>
        <v>147</v>
      </c>
      <c r="B149" s="6" t="s">
        <v>408</v>
      </c>
      <c r="C149" s="6" t="s">
        <v>12</v>
      </c>
      <c r="D149" s="6" t="s">
        <v>13</v>
      </c>
      <c r="E149" s="6" t="s">
        <v>406</v>
      </c>
      <c r="F149" s="6" t="s">
        <v>409</v>
      </c>
      <c r="G149" s="6" t="s">
        <v>16</v>
      </c>
      <c r="H149" s="5">
        <v>4</v>
      </c>
      <c r="I149" s="6" t="s">
        <v>410</v>
      </c>
      <c r="J149" s="5">
        <v>1590</v>
      </c>
    </row>
    <row r="150" s="2" customFormat="1" spans="1:10">
      <c r="A150" s="6">
        <f>148</f>
        <v>148</v>
      </c>
      <c r="B150" s="6" t="s">
        <v>411</v>
      </c>
      <c r="C150" s="6" t="s">
        <v>12</v>
      </c>
      <c r="D150" s="6" t="s">
        <v>13</v>
      </c>
      <c r="E150" s="6" t="s">
        <v>406</v>
      </c>
      <c r="F150" s="6" t="s">
        <v>412</v>
      </c>
      <c r="G150" s="6" t="s">
        <v>16</v>
      </c>
      <c r="H150" s="5">
        <v>3</v>
      </c>
      <c r="I150" s="6" t="s">
        <v>413</v>
      </c>
      <c r="J150" s="5">
        <v>760</v>
      </c>
    </row>
    <row r="151" s="2" customFormat="1" spans="1:10">
      <c r="A151" s="6">
        <f>149</f>
        <v>149</v>
      </c>
      <c r="B151" s="6" t="s">
        <v>414</v>
      </c>
      <c r="C151" s="6" t="s">
        <v>12</v>
      </c>
      <c r="D151" s="6" t="s">
        <v>13</v>
      </c>
      <c r="E151" s="6" t="s">
        <v>406</v>
      </c>
      <c r="F151" s="6" t="s">
        <v>415</v>
      </c>
      <c r="G151" s="6" t="s">
        <v>16</v>
      </c>
      <c r="H151" s="5">
        <v>3</v>
      </c>
      <c r="I151" s="6" t="s">
        <v>416</v>
      </c>
      <c r="J151" s="5">
        <v>830</v>
      </c>
    </row>
    <row r="152" s="2" customFormat="1" spans="1:10">
      <c r="A152" s="6">
        <f>150</f>
        <v>150</v>
      </c>
      <c r="B152" s="6" t="s">
        <v>417</v>
      </c>
      <c r="C152" s="6" t="s">
        <v>12</v>
      </c>
      <c r="D152" s="6" t="s">
        <v>13</v>
      </c>
      <c r="E152" s="6" t="s">
        <v>406</v>
      </c>
      <c r="F152" s="6" t="s">
        <v>418</v>
      </c>
      <c r="G152" s="6" t="s">
        <v>16</v>
      </c>
      <c r="H152" s="5">
        <v>2</v>
      </c>
      <c r="I152" s="6" t="s">
        <v>419</v>
      </c>
      <c r="J152" s="5">
        <v>340</v>
      </c>
    </row>
    <row r="153" s="2" customFormat="1" spans="1:10">
      <c r="A153" s="6">
        <f>151</f>
        <v>151</v>
      </c>
      <c r="B153" s="6" t="s">
        <v>420</v>
      </c>
      <c r="C153" s="6" t="s">
        <v>12</v>
      </c>
      <c r="D153" s="6" t="s">
        <v>13</v>
      </c>
      <c r="E153" s="6" t="s">
        <v>406</v>
      </c>
      <c r="F153" s="6" t="s">
        <v>421</v>
      </c>
      <c r="G153" s="6" t="s">
        <v>16</v>
      </c>
      <c r="H153" s="5">
        <v>1</v>
      </c>
      <c r="I153" s="6" t="s">
        <v>421</v>
      </c>
      <c r="J153" s="5">
        <v>260</v>
      </c>
    </row>
    <row r="154" s="2" customFormat="1" spans="1:10">
      <c r="A154" s="6">
        <f>152</f>
        <v>152</v>
      </c>
      <c r="B154" s="6" t="s">
        <v>422</v>
      </c>
      <c r="C154" s="6" t="s">
        <v>12</v>
      </c>
      <c r="D154" s="6" t="s">
        <v>13</v>
      </c>
      <c r="E154" s="6" t="s">
        <v>406</v>
      </c>
      <c r="F154" s="6" t="s">
        <v>423</v>
      </c>
      <c r="G154" s="6" t="s">
        <v>16</v>
      </c>
      <c r="H154" s="5">
        <v>1</v>
      </c>
      <c r="I154" s="6" t="s">
        <v>423</v>
      </c>
      <c r="J154" s="5">
        <v>245</v>
      </c>
    </row>
    <row r="155" s="2" customFormat="1" spans="1:10">
      <c r="A155" s="6">
        <f>153</f>
        <v>153</v>
      </c>
      <c r="B155" s="6" t="s">
        <v>424</v>
      </c>
      <c r="C155" s="6" t="s">
        <v>12</v>
      </c>
      <c r="D155" s="6" t="s">
        <v>13</v>
      </c>
      <c r="E155" s="6" t="s">
        <v>406</v>
      </c>
      <c r="F155" s="6" t="s">
        <v>425</v>
      </c>
      <c r="G155" s="6" t="s">
        <v>16</v>
      </c>
      <c r="H155" s="5">
        <v>3</v>
      </c>
      <c r="I155" s="6" t="s">
        <v>426</v>
      </c>
      <c r="J155" s="5">
        <v>578</v>
      </c>
    </row>
    <row r="156" s="2" customFormat="1" ht="27" spans="1:10">
      <c r="A156" s="6">
        <f>154</f>
        <v>154</v>
      </c>
      <c r="B156" s="6" t="s">
        <v>427</v>
      </c>
      <c r="C156" s="6" t="s">
        <v>12</v>
      </c>
      <c r="D156" s="6" t="s">
        <v>13</v>
      </c>
      <c r="E156" s="6" t="s">
        <v>406</v>
      </c>
      <c r="F156" s="6" t="s">
        <v>428</v>
      </c>
      <c r="G156" s="6" t="s">
        <v>16</v>
      </c>
      <c r="H156" s="5">
        <v>4</v>
      </c>
      <c r="I156" s="6" t="s">
        <v>429</v>
      </c>
      <c r="J156" s="5">
        <v>1590</v>
      </c>
    </row>
    <row r="157" s="2" customFormat="1" spans="1:10">
      <c r="A157" s="6">
        <f>155</f>
        <v>155</v>
      </c>
      <c r="B157" s="6" t="s">
        <v>430</v>
      </c>
      <c r="C157" s="6" t="s">
        <v>12</v>
      </c>
      <c r="D157" s="6" t="s">
        <v>13</v>
      </c>
      <c r="E157" s="6" t="s">
        <v>406</v>
      </c>
      <c r="F157" s="6" t="s">
        <v>431</v>
      </c>
      <c r="G157" s="6" t="s">
        <v>16</v>
      </c>
      <c r="H157" s="5">
        <v>3</v>
      </c>
      <c r="I157" s="6" t="s">
        <v>432</v>
      </c>
      <c r="J157" s="5">
        <v>400</v>
      </c>
    </row>
    <row r="158" s="2" customFormat="1" spans="1:10">
      <c r="A158" s="6">
        <f>156</f>
        <v>156</v>
      </c>
      <c r="B158" s="6" t="s">
        <v>433</v>
      </c>
      <c r="C158" s="6" t="s">
        <v>12</v>
      </c>
      <c r="D158" s="6" t="s">
        <v>13</v>
      </c>
      <c r="E158" s="6" t="s">
        <v>406</v>
      </c>
      <c r="F158" s="6" t="s">
        <v>434</v>
      </c>
      <c r="G158" s="6" t="s">
        <v>16</v>
      </c>
      <c r="H158" s="5">
        <v>1</v>
      </c>
      <c r="I158" s="6" t="s">
        <v>434</v>
      </c>
      <c r="J158" s="5">
        <v>270</v>
      </c>
    </row>
    <row r="159" s="2" customFormat="1" ht="27" spans="1:10">
      <c r="A159" s="6">
        <f>157</f>
        <v>157</v>
      </c>
      <c r="B159" s="6" t="s">
        <v>435</v>
      </c>
      <c r="C159" s="6" t="s">
        <v>12</v>
      </c>
      <c r="D159" s="6" t="s">
        <v>13</v>
      </c>
      <c r="E159" s="6" t="s">
        <v>406</v>
      </c>
      <c r="F159" s="6" t="s">
        <v>436</v>
      </c>
      <c r="G159" s="6" t="s">
        <v>16</v>
      </c>
      <c r="H159" s="5">
        <v>4</v>
      </c>
      <c r="I159" s="6" t="s">
        <v>437</v>
      </c>
      <c r="J159" s="5">
        <v>690</v>
      </c>
    </row>
    <row r="160" s="2" customFormat="1" ht="27" spans="1:10">
      <c r="A160" s="6">
        <f>158</f>
        <v>158</v>
      </c>
      <c r="B160" s="6" t="s">
        <v>438</v>
      </c>
      <c r="C160" s="6" t="s">
        <v>12</v>
      </c>
      <c r="D160" s="6" t="s">
        <v>13</v>
      </c>
      <c r="E160" s="6" t="s">
        <v>439</v>
      </c>
      <c r="F160" s="6" t="s">
        <v>440</v>
      </c>
      <c r="G160" s="6" t="s">
        <v>16</v>
      </c>
      <c r="H160" s="5">
        <v>5</v>
      </c>
      <c r="I160" s="6" t="s">
        <v>441</v>
      </c>
      <c r="J160" s="5">
        <v>1050</v>
      </c>
    </row>
    <row r="161" s="2" customFormat="1" ht="27" spans="1:10">
      <c r="A161" s="6">
        <f>159</f>
        <v>159</v>
      </c>
      <c r="B161" s="6" t="s">
        <v>442</v>
      </c>
      <c r="C161" s="6" t="s">
        <v>12</v>
      </c>
      <c r="D161" s="6" t="s">
        <v>13</v>
      </c>
      <c r="E161" s="6" t="s">
        <v>439</v>
      </c>
      <c r="F161" s="6" t="s">
        <v>443</v>
      </c>
      <c r="G161" s="6" t="s">
        <v>16</v>
      </c>
      <c r="H161" s="5">
        <v>5</v>
      </c>
      <c r="I161" s="6" t="s">
        <v>444</v>
      </c>
      <c r="J161" s="5">
        <v>1200</v>
      </c>
    </row>
    <row r="162" s="2" customFormat="1" ht="27" spans="1:10">
      <c r="A162" s="6">
        <f>160</f>
        <v>160</v>
      </c>
      <c r="B162" s="6" t="s">
        <v>445</v>
      </c>
      <c r="C162" s="6" t="s">
        <v>12</v>
      </c>
      <c r="D162" s="6" t="s">
        <v>13</v>
      </c>
      <c r="E162" s="6" t="s">
        <v>439</v>
      </c>
      <c r="F162" s="6" t="s">
        <v>446</v>
      </c>
      <c r="G162" s="6" t="s">
        <v>16</v>
      </c>
      <c r="H162" s="5">
        <v>4</v>
      </c>
      <c r="I162" s="6" t="s">
        <v>447</v>
      </c>
      <c r="J162" s="5">
        <v>1040</v>
      </c>
    </row>
    <row r="163" s="2" customFormat="1" spans="1:10">
      <c r="A163" s="6">
        <f>161</f>
        <v>161</v>
      </c>
      <c r="B163" s="6" t="s">
        <v>448</v>
      </c>
      <c r="C163" s="6" t="s">
        <v>12</v>
      </c>
      <c r="D163" s="6" t="s">
        <v>13</v>
      </c>
      <c r="E163" s="6" t="s">
        <v>439</v>
      </c>
      <c r="F163" s="6" t="s">
        <v>449</v>
      </c>
      <c r="G163" s="6" t="s">
        <v>16</v>
      </c>
      <c r="H163" s="5">
        <v>1</v>
      </c>
      <c r="I163" s="6" t="s">
        <v>449</v>
      </c>
      <c r="J163" s="5">
        <v>620</v>
      </c>
    </row>
    <row r="164" s="2" customFormat="1" spans="1:10">
      <c r="A164" s="6">
        <f>162</f>
        <v>162</v>
      </c>
      <c r="B164" s="6" t="s">
        <v>450</v>
      </c>
      <c r="C164" s="6" t="s">
        <v>12</v>
      </c>
      <c r="D164" s="6" t="s">
        <v>13</v>
      </c>
      <c r="E164" s="6" t="s">
        <v>439</v>
      </c>
      <c r="F164" s="6" t="s">
        <v>451</v>
      </c>
      <c r="G164" s="6" t="s">
        <v>16</v>
      </c>
      <c r="H164" s="5">
        <v>1</v>
      </c>
      <c r="I164" s="6" t="s">
        <v>451</v>
      </c>
      <c r="J164" s="5">
        <v>620</v>
      </c>
    </row>
    <row r="165" s="2" customFormat="1" ht="27" spans="1:10">
      <c r="A165" s="6">
        <f>163</f>
        <v>163</v>
      </c>
      <c r="B165" s="6" t="s">
        <v>452</v>
      </c>
      <c r="C165" s="6" t="s">
        <v>12</v>
      </c>
      <c r="D165" s="6" t="s">
        <v>13</v>
      </c>
      <c r="E165" s="6" t="s">
        <v>439</v>
      </c>
      <c r="F165" s="6" t="s">
        <v>453</v>
      </c>
      <c r="G165" s="6" t="s">
        <v>16</v>
      </c>
      <c r="H165" s="5">
        <v>6</v>
      </c>
      <c r="I165" s="6" t="s">
        <v>454</v>
      </c>
      <c r="J165" s="5">
        <v>1200</v>
      </c>
    </row>
    <row r="166" s="2" customFormat="1" ht="27" spans="1:10">
      <c r="A166" s="6">
        <f>164</f>
        <v>164</v>
      </c>
      <c r="B166" s="6" t="s">
        <v>455</v>
      </c>
      <c r="C166" s="6" t="s">
        <v>12</v>
      </c>
      <c r="D166" s="6" t="s">
        <v>13</v>
      </c>
      <c r="E166" s="6" t="s">
        <v>439</v>
      </c>
      <c r="F166" s="6" t="s">
        <v>456</v>
      </c>
      <c r="G166" s="6" t="s">
        <v>16</v>
      </c>
      <c r="H166" s="5">
        <v>4</v>
      </c>
      <c r="I166" s="6" t="s">
        <v>457</v>
      </c>
      <c r="J166" s="5">
        <v>960</v>
      </c>
    </row>
    <row r="167" s="2" customFormat="1" ht="27" spans="1:10">
      <c r="A167" s="6">
        <f>165</f>
        <v>165</v>
      </c>
      <c r="B167" s="6" t="s">
        <v>458</v>
      </c>
      <c r="C167" s="6" t="s">
        <v>12</v>
      </c>
      <c r="D167" s="6" t="s">
        <v>13</v>
      </c>
      <c r="E167" s="6" t="s">
        <v>439</v>
      </c>
      <c r="F167" s="6" t="s">
        <v>459</v>
      </c>
      <c r="G167" s="6" t="s">
        <v>16</v>
      </c>
      <c r="H167" s="5">
        <v>4</v>
      </c>
      <c r="I167" s="6" t="s">
        <v>460</v>
      </c>
      <c r="J167" s="5">
        <v>960</v>
      </c>
    </row>
    <row r="168" s="2" customFormat="1" spans="1:10">
      <c r="A168" s="6">
        <f>166</f>
        <v>166</v>
      </c>
      <c r="B168" s="6" t="s">
        <v>461</v>
      </c>
      <c r="C168" s="6" t="s">
        <v>12</v>
      </c>
      <c r="D168" s="6" t="s">
        <v>13</v>
      </c>
      <c r="E168" s="6" t="s">
        <v>439</v>
      </c>
      <c r="F168" s="6" t="s">
        <v>462</v>
      </c>
      <c r="G168" s="6" t="s">
        <v>16</v>
      </c>
      <c r="H168" s="5">
        <v>1</v>
      </c>
      <c r="I168" s="6" t="s">
        <v>462</v>
      </c>
      <c r="J168" s="5">
        <v>240</v>
      </c>
    </row>
    <row r="169" s="2" customFormat="1" spans="1:10">
      <c r="A169" s="6">
        <f>167</f>
        <v>167</v>
      </c>
      <c r="B169" s="6" t="s">
        <v>463</v>
      </c>
      <c r="C169" s="6" t="s">
        <v>12</v>
      </c>
      <c r="D169" s="6" t="s">
        <v>13</v>
      </c>
      <c r="E169" s="6" t="s">
        <v>439</v>
      </c>
      <c r="F169" s="6" t="s">
        <v>464</v>
      </c>
      <c r="G169" s="6" t="s">
        <v>16</v>
      </c>
      <c r="H169" s="5">
        <v>1</v>
      </c>
      <c r="I169" s="6" t="s">
        <v>464</v>
      </c>
      <c r="J169" s="5">
        <v>280</v>
      </c>
    </row>
    <row r="170" s="2" customFormat="1" spans="1:10">
      <c r="A170" s="6">
        <f>168</f>
        <v>168</v>
      </c>
      <c r="B170" s="6" t="s">
        <v>465</v>
      </c>
      <c r="C170" s="6" t="s">
        <v>12</v>
      </c>
      <c r="D170" s="6" t="s">
        <v>13</v>
      </c>
      <c r="E170" s="6" t="s">
        <v>439</v>
      </c>
      <c r="F170" s="6" t="s">
        <v>466</v>
      </c>
      <c r="G170" s="6" t="s">
        <v>16</v>
      </c>
      <c r="H170" s="5">
        <v>3</v>
      </c>
      <c r="I170" s="6" t="s">
        <v>467</v>
      </c>
      <c r="J170" s="5">
        <v>890</v>
      </c>
    </row>
    <row r="171" s="2" customFormat="1" spans="1:10">
      <c r="A171" s="6">
        <f>169</f>
        <v>169</v>
      </c>
      <c r="B171" s="6" t="s">
        <v>468</v>
      </c>
      <c r="C171" s="6" t="s">
        <v>12</v>
      </c>
      <c r="D171" s="6" t="s">
        <v>13</v>
      </c>
      <c r="E171" s="6" t="s">
        <v>439</v>
      </c>
      <c r="F171" s="6" t="s">
        <v>469</v>
      </c>
      <c r="G171" s="6" t="s">
        <v>16</v>
      </c>
      <c r="H171" s="5">
        <v>1</v>
      </c>
      <c r="I171" s="6" t="s">
        <v>469</v>
      </c>
      <c r="J171" s="5">
        <v>290</v>
      </c>
    </row>
    <row r="172" s="2" customFormat="1" spans="1:10">
      <c r="A172" s="6">
        <f>170</f>
        <v>170</v>
      </c>
      <c r="B172" s="6" t="s">
        <v>470</v>
      </c>
      <c r="C172" s="6" t="s">
        <v>12</v>
      </c>
      <c r="D172" s="6" t="s">
        <v>13</v>
      </c>
      <c r="E172" s="6" t="s">
        <v>439</v>
      </c>
      <c r="F172" s="6" t="s">
        <v>471</v>
      </c>
      <c r="G172" s="6" t="s">
        <v>16</v>
      </c>
      <c r="H172" s="5">
        <v>3</v>
      </c>
      <c r="I172" s="6" t="s">
        <v>472</v>
      </c>
      <c r="J172" s="5">
        <v>660</v>
      </c>
    </row>
    <row r="173" s="2" customFormat="1" ht="27" spans="1:10">
      <c r="A173" s="6">
        <f>171</f>
        <v>171</v>
      </c>
      <c r="B173" s="6" t="s">
        <v>473</v>
      </c>
      <c r="C173" s="6" t="s">
        <v>12</v>
      </c>
      <c r="D173" s="6" t="s">
        <v>13</v>
      </c>
      <c r="E173" s="6" t="s">
        <v>439</v>
      </c>
      <c r="F173" s="6" t="s">
        <v>474</v>
      </c>
      <c r="G173" s="6" t="s">
        <v>16</v>
      </c>
      <c r="H173" s="5">
        <v>4</v>
      </c>
      <c r="I173" s="6" t="s">
        <v>475</v>
      </c>
      <c r="J173" s="5">
        <v>640</v>
      </c>
    </row>
    <row r="174" s="2" customFormat="1" spans="1:10">
      <c r="A174" s="6">
        <f>172</f>
        <v>172</v>
      </c>
      <c r="B174" s="6" t="s">
        <v>476</v>
      </c>
      <c r="C174" s="6" t="s">
        <v>12</v>
      </c>
      <c r="D174" s="6" t="s">
        <v>13</v>
      </c>
      <c r="E174" s="6" t="s">
        <v>439</v>
      </c>
      <c r="F174" s="6" t="s">
        <v>477</v>
      </c>
      <c r="G174" s="6" t="s">
        <v>16</v>
      </c>
      <c r="H174" s="5">
        <v>3</v>
      </c>
      <c r="I174" s="6" t="s">
        <v>478</v>
      </c>
      <c r="J174" s="5">
        <v>600</v>
      </c>
    </row>
    <row r="175" s="2" customFormat="1" spans="1:10">
      <c r="A175" s="6">
        <f>173</f>
        <v>173</v>
      </c>
      <c r="B175" s="6" t="s">
        <v>479</v>
      </c>
      <c r="C175" s="6" t="s">
        <v>12</v>
      </c>
      <c r="D175" s="6" t="s">
        <v>13</v>
      </c>
      <c r="E175" s="6" t="s">
        <v>439</v>
      </c>
      <c r="F175" s="6" t="s">
        <v>480</v>
      </c>
      <c r="G175" s="6" t="s">
        <v>16</v>
      </c>
      <c r="H175" s="5">
        <v>1</v>
      </c>
      <c r="I175" s="6" t="s">
        <v>480</v>
      </c>
      <c r="J175" s="5">
        <v>270</v>
      </c>
    </row>
    <row r="176" s="2" customFormat="1" spans="1:10">
      <c r="A176" s="6">
        <f>174</f>
        <v>174</v>
      </c>
      <c r="B176" s="6" t="s">
        <v>481</v>
      </c>
      <c r="C176" s="6" t="s">
        <v>12</v>
      </c>
      <c r="D176" s="6" t="s">
        <v>13</v>
      </c>
      <c r="E176" s="6" t="s">
        <v>439</v>
      </c>
      <c r="F176" s="6" t="s">
        <v>482</v>
      </c>
      <c r="G176" s="6" t="s">
        <v>16</v>
      </c>
      <c r="H176" s="5">
        <v>1</v>
      </c>
      <c r="I176" s="6" t="s">
        <v>482</v>
      </c>
      <c r="J176" s="5">
        <v>240</v>
      </c>
    </row>
    <row r="177" s="2" customFormat="1" ht="27" spans="1:10">
      <c r="A177" s="6">
        <f>175</f>
        <v>175</v>
      </c>
      <c r="B177" s="6" t="s">
        <v>483</v>
      </c>
      <c r="C177" s="6" t="s">
        <v>12</v>
      </c>
      <c r="D177" s="6" t="s">
        <v>13</v>
      </c>
      <c r="E177" s="6" t="s">
        <v>439</v>
      </c>
      <c r="F177" s="6" t="s">
        <v>484</v>
      </c>
      <c r="G177" s="6" t="s">
        <v>16</v>
      </c>
      <c r="H177" s="5">
        <v>4</v>
      </c>
      <c r="I177" s="6" t="s">
        <v>485</v>
      </c>
      <c r="J177" s="5">
        <v>790</v>
      </c>
    </row>
    <row r="178" s="2" customFormat="1" ht="27" spans="1:10">
      <c r="A178" s="6">
        <f>176</f>
        <v>176</v>
      </c>
      <c r="B178" s="6" t="s">
        <v>486</v>
      </c>
      <c r="C178" s="6" t="s">
        <v>12</v>
      </c>
      <c r="D178" s="6" t="s">
        <v>13</v>
      </c>
      <c r="E178" s="6" t="s">
        <v>439</v>
      </c>
      <c r="F178" s="6" t="s">
        <v>487</v>
      </c>
      <c r="G178" s="6" t="s">
        <v>16</v>
      </c>
      <c r="H178" s="5">
        <v>4</v>
      </c>
      <c r="I178" s="6" t="s">
        <v>488</v>
      </c>
      <c r="J178" s="5">
        <v>1440</v>
      </c>
    </row>
    <row r="179" s="2" customFormat="1" spans="1:10">
      <c r="A179" s="6">
        <f>177</f>
        <v>177</v>
      </c>
      <c r="B179" s="6" t="s">
        <v>489</v>
      </c>
      <c r="C179" s="6" t="s">
        <v>12</v>
      </c>
      <c r="D179" s="6" t="s">
        <v>13</v>
      </c>
      <c r="E179" s="6" t="s">
        <v>439</v>
      </c>
      <c r="F179" s="6" t="s">
        <v>490</v>
      </c>
      <c r="G179" s="6" t="s">
        <v>16</v>
      </c>
      <c r="H179" s="5">
        <v>3</v>
      </c>
      <c r="I179" s="6" t="s">
        <v>491</v>
      </c>
      <c r="J179" s="5">
        <v>735</v>
      </c>
    </row>
    <row r="180" s="2" customFormat="1" spans="1:10">
      <c r="A180" s="6">
        <f>178</f>
        <v>178</v>
      </c>
      <c r="B180" s="6" t="s">
        <v>492</v>
      </c>
      <c r="C180" s="6" t="s">
        <v>12</v>
      </c>
      <c r="D180" s="6" t="s">
        <v>13</v>
      </c>
      <c r="E180" s="6" t="s">
        <v>439</v>
      </c>
      <c r="F180" s="6" t="s">
        <v>493</v>
      </c>
      <c r="G180" s="6" t="s">
        <v>16</v>
      </c>
      <c r="H180" s="5">
        <v>1</v>
      </c>
      <c r="I180" s="6" t="s">
        <v>493</v>
      </c>
      <c r="J180" s="5">
        <v>210</v>
      </c>
    </row>
    <row r="181" s="2" customFormat="1" spans="1:10">
      <c r="A181" s="6">
        <f>179</f>
        <v>179</v>
      </c>
      <c r="B181" s="6" t="s">
        <v>494</v>
      </c>
      <c r="C181" s="6" t="s">
        <v>12</v>
      </c>
      <c r="D181" s="6" t="s">
        <v>13</v>
      </c>
      <c r="E181" s="6" t="s">
        <v>439</v>
      </c>
      <c r="F181" s="6" t="s">
        <v>495</v>
      </c>
      <c r="G181" s="6" t="s">
        <v>16</v>
      </c>
      <c r="H181" s="5">
        <v>3</v>
      </c>
      <c r="I181" s="6" t="s">
        <v>496</v>
      </c>
      <c r="J181" s="5">
        <v>660</v>
      </c>
    </row>
    <row r="182" s="2" customFormat="1" spans="1:10">
      <c r="A182" s="6">
        <f>180</f>
        <v>180</v>
      </c>
      <c r="B182" s="6" t="s">
        <v>497</v>
      </c>
      <c r="C182" s="6" t="s">
        <v>12</v>
      </c>
      <c r="D182" s="6" t="s">
        <v>13</v>
      </c>
      <c r="E182" s="6" t="s">
        <v>439</v>
      </c>
      <c r="F182" s="6" t="s">
        <v>498</v>
      </c>
      <c r="G182" s="6" t="s">
        <v>16</v>
      </c>
      <c r="H182" s="5">
        <v>1</v>
      </c>
      <c r="I182" s="6" t="s">
        <v>498</v>
      </c>
      <c r="J182" s="5">
        <v>245</v>
      </c>
    </row>
    <row r="183" s="2" customFormat="1" spans="1:10">
      <c r="A183" s="6">
        <f>181</f>
        <v>181</v>
      </c>
      <c r="B183" s="6" t="s">
        <v>499</v>
      </c>
      <c r="C183" s="6" t="s">
        <v>12</v>
      </c>
      <c r="D183" s="6" t="s">
        <v>13</v>
      </c>
      <c r="E183" s="6" t="s">
        <v>439</v>
      </c>
      <c r="F183" s="6" t="s">
        <v>500</v>
      </c>
      <c r="G183" s="6" t="s">
        <v>16</v>
      </c>
      <c r="H183" s="5">
        <v>3</v>
      </c>
      <c r="I183" s="6" t="s">
        <v>501</v>
      </c>
      <c r="J183" s="5">
        <v>680</v>
      </c>
    </row>
    <row r="184" s="2" customFormat="1" spans="1:10">
      <c r="A184" s="6">
        <f>182</f>
        <v>182</v>
      </c>
      <c r="B184" s="6" t="s">
        <v>502</v>
      </c>
      <c r="C184" s="6" t="s">
        <v>12</v>
      </c>
      <c r="D184" s="6" t="s">
        <v>13</v>
      </c>
      <c r="E184" s="6" t="s">
        <v>439</v>
      </c>
      <c r="F184" s="6" t="s">
        <v>503</v>
      </c>
      <c r="G184" s="6" t="s">
        <v>16</v>
      </c>
      <c r="H184" s="5">
        <v>2</v>
      </c>
      <c r="I184" s="6" t="s">
        <v>504</v>
      </c>
      <c r="J184" s="5">
        <v>560</v>
      </c>
    </row>
    <row r="185" s="2" customFormat="1" ht="27" spans="1:10">
      <c r="A185" s="6">
        <f>183</f>
        <v>183</v>
      </c>
      <c r="B185" s="6" t="s">
        <v>505</v>
      </c>
      <c r="C185" s="6" t="s">
        <v>12</v>
      </c>
      <c r="D185" s="6" t="s">
        <v>13</v>
      </c>
      <c r="E185" s="6" t="s">
        <v>439</v>
      </c>
      <c r="F185" s="6" t="s">
        <v>506</v>
      </c>
      <c r="G185" s="6" t="s">
        <v>16</v>
      </c>
      <c r="H185" s="5">
        <v>4</v>
      </c>
      <c r="I185" s="6" t="s">
        <v>507</v>
      </c>
      <c r="J185" s="5">
        <v>690</v>
      </c>
    </row>
    <row r="186" s="2" customFormat="1" spans="1:10">
      <c r="A186" s="6">
        <f>184</f>
        <v>184</v>
      </c>
      <c r="B186" s="6" t="s">
        <v>508</v>
      </c>
      <c r="C186" s="6" t="s">
        <v>12</v>
      </c>
      <c r="D186" s="6" t="s">
        <v>13</v>
      </c>
      <c r="E186" s="6" t="s">
        <v>439</v>
      </c>
      <c r="F186" s="6" t="s">
        <v>509</v>
      </c>
      <c r="G186" s="6" t="s">
        <v>16</v>
      </c>
      <c r="H186" s="5">
        <v>1</v>
      </c>
      <c r="I186" s="6" t="s">
        <v>509</v>
      </c>
      <c r="J186" s="5">
        <v>450</v>
      </c>
    </row>
    <row r="187" s="2" customFormat="1" spans="1:10">
      <c r="A187" s="6">
        <f>185</f>
        <v>185</v>
      </c>
      <c r="B187" s="6" t="s">
        <v>510</v>
      </c>
      <c r="C187" s="6" t="s">
        <v>12</v>
      </c>
      <c r="D187" s="6" t="s">
        <v>13</v>
      </c>
      <c r="E187" s="6" t="s">
        <v>439</v>
      </c>
      <c r="F187" s="6" t="s">
        <v>511</v>
      </c>
      <c r="G187" s="6" t="s">
        <v>16</v>
      </c>
      <c r="H187" s="5">
        <v>1</v>
      </c>
      <c r="I187" s="6" t="s">
        <v>511</v>
      </c>
      <c r="J187" s="5">
        <v>210</v>
      </c>
    </row>
    <row r="188" s="2" customFormat="1" spans="1:10">
      <c r="A188" s="6">
        <f>186</f>
        <v>186</v>
      </c>
      <c r="B188" s="6" t="s">
        <v>512</v>
      </c>
      <c r="C188" s="6" t="s">
        <v>12</v>
      </c>
      <c r="D188" s="6" t="s">
        <v>13</v>
      </c>
      <c r="E188" s="6" t="s">
        <v>439</v>
      </c>
      <c r="F188" s="6" t="s">
        <v>513</v>
      </c>
      <c r="G188" s="6" t="s">
        <v>16</v>
      </c>
      <c r="H188" s="5">
        <v>1</v>
      </c>
      <c r="I188" s="6" t="s">
        <v>513</v>
      </c>
      <c r="J188" s="5">
        <v>240</v>
      </c>
    </row>
    <row r="189" s="2" customFormat="1" spans="1:10">
      <c r="A189" s="6">
        <f>187</f>
        <v>187</v>
      </c>
      <c r="B189" s="6" t="s">
        <v>514</v>
      </c>
      <c r="C189" s="6" t="s">
        <v>12</v>
      </c>
      <c r="D189" s="6" t="s">
        <v>13</v>
      </c>
      <c r="E189" s="6" t="s">
        <v>439</v>
      </c>
      <c r="F189" s="6" t="s">
        <v>515</v>
      </c>
      <c r="G189" s="6" t="s">
        <v>16</v>
      </c>
      <c r="H189" s="5">
        <v>3</v>
      </c>
      <c r="I189" s="6" t="s">
        <v>516</v>
      </c>
      <c r="J189" s="5">
        <v>720</v>
      </c>
    </row>
    <row r="190" s="2" customFormat="1" ht="27" spans="1:10">
      <c r="A190" s="6">
        <f>188</f>
        <v>188</v>
      </c>
      <c r="B190" s="6" t="s">
        <v>517</v>
      </c>
      <c r="C190" s="6" t="s">
        <v>12</v>
      </c>
      <c r="D190" s="6" t="s">
        <v>13</v>
      </c>
      <c r="E190" s="6" t="s">
        <v>439</v>
      </c>
      <c r="F190" s="6" t="s">
        <v>518</v>
      </c>
      <c r="G190" s="6" t="s">
        <v>16</v>
      </c>
      <c r="H190" s="5">
        <v>4</v>
      </c>
      <c r="I190" s="6" t="s">
        <v>519</v>
      </c>
      <c r="J190" s="5">
        <v>860</v>
      </c>
    </row>
    <row r="191" s="2" customFormat="1" spans="1:10">
      <c r="A191" s="6">
        <f>189</f>
        <v>189</v>
      </c>
      <c r="B191" s="6" t="s">
        <v>520</v>
      </c>
      <c r="C191" s="6" t="s">
        <v>12</v>
      </c>
      <c r="D191" s="6" t="s">
        <v>13</v>
      </c>
      <c r="E191" s="6" t="s">
        <v>439</v>
      </c>
      <c r="F191" s="6" t="s">
        <v>521</v>
      </c>
      <c r="G191" s="6" t="s">
        <v>16</v>
      </c>
      <c r="H191" s="5">
        <v>1</v>
      </c>
      <c r="I191" s="6" t="s">
        <v>521</v>
      </c>
      <c r="J191" s="5">
        <v>260</v>
      </c>
    </row>
    <row r="192" s="2" customFormat="1" ht="27" spans="1:10">
      <c r="A192" s="6">
        <f>190</f>
        <v>190</v>
      </c>
      <c r="B192" s="6" t="s">
        <v>522</v>
      </c>
      <c r="C192" s="6" t="s">
        <v>12</v>
      </c>
      <c r="D192" s="6" t="s">
        <v>13</v>
      </c>
      <c r="E192" s="6" t="s">
        <v>439</v>
      </c>
      <c r="F192" s="6" t="s">
        <v>523</v>
      </c>
      <c r="G192" s="6" t="s">
        <v>16</v>
      </c>
      <c r="H192" s="5">
        <v>6</v>
      </c>
      <c r="I192" s="6" t="s">
        <v>524</v>
      </c>
      <c r="J192" s="5">
        <v>950</v>
      </c>
    </row>
    <row r="193" s="2" customFormat="1" spans="1:10">
      <c r="A193" s="6">
        <f>191</f>
        <v>191</v>
      </c>
      <c r="B193" s="6" t="s">
        <v>525</v>
      </c>
      <c r="C193" s="6" t="s">
        <v>12</v>
      </c>
      <c r="D193" s="6" t="s">
        <v>13</v>
      </c>
      <c r="E193" s="6" t="s">
        <v>439</v>
      </c>
      <c r="F193" s="6" t="s">
        <v>526</v>
      </c>
      <c r="G193" s="6" t="s">
        <v>16</v>
      </c>
      <c r="H193" s="5">
        <v>3</v>
      </c>
      <c r="I193" s="6" t="s">
        <v>527</v>
      </c>
      <c r="J193" s="5">
        <v>1080</v>
      </c>
    </row>
    <row r="194" s="2" customFormat="1" spans="1:10">
      <c r="A194" s="6">
        <f>192</f>
        <v>192</v>
      </c>
      <c r="B194" s="6" t="s">
        <v>528</v>
      </c>
      <c r="C194" s="6" t="s">
        <v>12</v>
      </c>
      <c r="D194" s="6" t="s">
        <v>13</v>
      </c>
      <c r="E194" s="6" t="s">
        <v>439</v>
      </c>
      <c r="F194" s="6" t="s">
        <v>529</v>
      </c>
      <c r="G194" s="6" t="s">
        <v>16</v>
      </c>
      <c r="H194" s="5">
        <v>2</v>
      </c>
      <c r="I194" s="6" t="s">
        <v>530</v>
      </c>
      <c r="J194" s="5">
        <v>640</v>
      </c>
    </row>
    <row r="195" s="2" customFormat="1" spans="1:10">
      <c r="A195" s="6">
        <f>193</f>
        <v>193</v>
      </c>
      <c r="B195" s="6" t="s">
        <v>531</v>
      </c>
      <c r="C195" s="6" t="s">
        <v>12</v>
      </c>
      <c r="D195" s="6" t="s">
        <v>13</v>
      </c>
      <c r="E195" s="6" t="s">
        <v>439</v>
      </c>
      <c r="F195" s="6" t="s">
        <v>532</v>
      </c>
      <c r="G195" s="6" t="s">
        <v>16</v>
      </c>
      <c r="H195" s="5">
        <v>1</v>
      </c>
      <c r="I195" s="6" t="s">
        <v>532</v>
      </c>
      <c r="J195" s="5">
        <v>320</v>
      </c>
    </row>
    <row r="196" s="2" customFormat="1" ht="27" spans="1:10">
      <c r="A196" s="6">
        <f>194</f>
        <v>194</v>
      </c>
      <c r="B196" s="6" t="s">
        <v>533</v>
      </c>
      <c r="C196" s="6" t="s">
        <v>12</v>
      </c>
      <c r="D196" s="6" t="s">
        <v>13</v>
      </c>
      <c r="E196" s="6" t="s">
        <v>439</v>
      </c>
      <c r="F196" s="6" t="s">
        <v>534</v>
      </c>
      <c r="G196" s="6" t="s">
        <v>16</v>
      </c>
      <c r="H196" s="5">
        <v>4</v>
      </c>
      <c r="I196" s="6" t="s">
        <v>535</v>
      </c>
      <c r="J196" s="5">
        <v>810</v>
      </c>
    </row>
    <row r="197" s="2" customFormat="1" spans="1:10">
      <c r="A197" s="6">
        <f>195</f>
        <v>195</v>
      </c>
      <c r="B197" s="6" t="s">
        <v>536</v>
      </c>
      <c r="C197" s="6" t="s">
        <v>12</v>
      </c>
      <c r="D197" s="6" t="s">
        <v>13</v>
      </c>
      <c r="E197" s="6" t="s">
        <v>439</v>
      </c>
      <c r="F197" s="6" t="s">
        <v>537</v>
      </c>
      <c r="G197" s="6" t="s">
        <v>16</v>
      </c>
      <c r="H197" s="5">
        <v>2</v>
      </c>
      <c r="I197" s="6" t="s">
        <v>538</v>
      </c>
      <c r="J197" s="5">
        <v>510</v>
      </c>
    </row>
    <row r="198" s="2" customFormat="1" spans="1:10">
      <c r="A198" s="6">
        <f>196</f>
        <v>196</v>
      </c>
      <c r="B198" s="6" t="s">
        <v>539</v>
      </c>
      <c r="C198" s="6" t="s">
        <v>12</v>
      </c>
      <c r="D198" s="6" t="s">
        <v>13</v>
      </c>
      <c r="E198" s="6" t="s">
        <v>439</v>
      </c>
      <c r="F198" s="6" t="s">
        <v>540</v>
      </c>
      <c r="G198" s="6" t="s">
        <v>16</v>
      </c>
      <c r="H198" s="5">
        <v>3</v>
      </c>
      <c r="I198" s="6" t="s">
        <v>541</v>
      </c>
      <c r="J198" s="5">
        <v>500</v>
      </c>
    </row>
    <row r="199" s="2" customFormat="1" spans="1:10">
      <c r="A199" s="6">
        <f>197</f>
        <v>197</v>
      </c>
      <c r="B199" s="6" t="s">
        <v>542</v>
      </c>
      <c r="C199" s="6" t="s">
        <v>12</v>
      </c>
      <c r="D199" s="6" t="s">
        <v>13</v>
      </c>
      <c r="E199" s="6" t="s">
        <v>439</v>
      </c>
      <c r="F199" s="6" t="s">
        <v>543</v>
      </c>
      <c r="G199" s="6" t="s">
        <v>16</v>
      </c>
      <c r="H199" s="5">
        <v>3</v>
      </c>
      <c r="I199" s="6" t="s">
        <v>544</v>
      </c>
      <c r="J199" s="5">
        <v>815</v>
      </c>
    </row>
    <row r="200" s="2" customFormat="1" spans="1:10">
      <c r="A200" s="6">
        <f>198</f>
        <v>198</v>
      </c>
      <c r="B200" s="6" t="s">
        <v>545</v>
      </c>
      <c r="C200" s="6" t="s">
        <v>12</v>
      </c>
      <c r="D200" s="6" t="s">
        <v>13</v>
      </c>
      <c r="E200" s="6" t="s">
        <v>439</v>
      </c>
      <c r="F200" s="6" t="s">
        <v>546</v>
      </c>
      <c r="G200" s="6" t="s">
        <v>16</v>
      </c>
      <c r="H200" s="5">
        <v>1</v>
      </c>
      <c r="I200" s="6" t="s">
        <v>546</v>
      </c>
      <c r="J200" s="5">
        <v>340</v>
      </c>
    </row>
    <row r="201" s="2" customFormat="1" ht="27" spans="1:10">
      <c r="A201" s="6">
        <f>199</f>
        <v>199</v>
      </c>
      <c r="B201" s="6" t="s">
        <v>547</v>
      </c>
      <c r="C201" s="6" t="s">
        <v>12</v>
      </c>
      <c r="D201" s="6" t="s">
        <v>13</v>
      </c>
      <c r="E201" s="6" t="s">
        <v>439</v>
      </c>
      <c r="F201" s="6" t="s">
        <v>548</v>
      </c>
      <c r="G201" s="6" t="s">
        <v>16</v>
      </c>
      <c r="H201" s="5">
        <v>4</v>
      </c>
      <c r="I201" s="6" t="s">
        <v>549</v>
      </c>
      <c r="J201" s="5">
        <v>640</v>
      </c>
    </row>
    <row r="202" s="2" customFormat="1" spans="1:10">
      <c r="A202" s="6">
        <f>200</f>
        <v>200</v>
      </c>
      <c r="B202" s="6" t="s">
        <v>550</v>
      </c>
      <c r="C202" s="6" t="s">
        <v>12</v>
      </c>
      <c r="D202" s="6" t="s">
        <v>13</v>
      </c>
      <c r="E202" s="6" t="s">
        <v>439</v>
      </c>
      <c r="F202" s="6" t="s">
        <v>551</v>
      </c>
      <c r="G202" s="6" t="s">
        <v>16</v>
      </c>
      <c r="H202" s="5">
        <v>1</v>
      </c>
      <c r="I202" s="6" t="s">
        <v>551</v>
      </c>
      <c r="J202" s="5">
        <v>290</v>
      </c>
    </row>
    <row r="203" s="2" customFormat="1" spans="1:10">
      <c r="A203" s="6">
        <f>201</f>
        <v>201</v>
      </c>
      <c r="B203" s="6" t="s">
        <v>552</v>
      </c>
      <c r="C203" s="6" t="s">
        <v>12</v>
      </c>
      <c r="D203" s="6" t="s">
        <v>13</v>
      </c>
      <c r="E203" s="6" t="s">
        <v>439</v>
      </c>
      <c r="F203" s="6" t="s">
        <v>553</v>
      </c>
      <c r="G203" s="6" t="s">
        <v>16</v>
      </c>
      <c r="H203" s="5">
        <v>3</v>
      </c>
      <c r="I203" s="6" t="s">
        <v>554</v>
      </c>
      <c r="J203" s="5">
        <v>680</v>
      </c>
    </row>
    <row r="204" s="2" customFormat="1" ht="27" spans="1:10">
      <c r="A204" s="6">
        <f>202</f>
        <v>202</v>
      </c>
      <c r="B204" s="6" t="s">
        <v>555</v>
      </c>
      <c r="C204" s="6" t="s">
        <v>12</v>
      </c>
      <c r="D204" s="6" t="s">
        <v>13</v>
      </c>
      <c r="E204" s="6" t="s">
        <v>439</v>
      </c>
      <c r="F204" s="6" t="s">
        <v>556</v>
      </c>
      <c r="G204" s="6" t="s">
        <v>16</v>
      </c>
      <c r="H204" s="5">
        <v>4</v>
      </c>
      <c r="I204" s="6" t="s">
        <v>557</v>
      </c>
      <c r="J204" s="5">
        <v>810</v>
      </c>
    </row>
    <row r="205" s="2" customFormat="1" spans="1:10">
      <c r="A205" s="6">
        <f>203</f>
        <v>203</v>
      </c>
      <c r="B205" s="6" t="s">
        <v>558</v>
      </c>
      <c r="C205" s="6" t="s">
        <v>12</v>
      </c>
      <c r="D205" s="6" t="s">
        <v>13</v>
      </c>
      <c r="E205" s="6" t="s">
        <v>439</v>
      </c>
      <c r="F205" s="6" t="s">
        <v>559</v>
      </c>
      <c r="G205" s="6" t="s">
        <v>16</v>
      </c>
      <c r="H205" s="5">
        <v>1</v>
      </c>
      <c r="I205" s="6" t="s">
        <v>559</v>
      </c>
      <c r="J205" s="5">
        <v>340</v>
      </c>
    </row>
    <row r="206" s="2" customFormat="1" spans="1:10">
      <c r="A206" s="6">
        <f>204</f>
        <v>204</v>
      </c>
      <c r="B206" s="6" t="s">
        <v>560</v>
      </c>
      <c r="C206" s="6" t="s">
        <v>12</v>
      </c>
      <c r="D206" s="6" t="s">
        <v>13</v>
      </c>
      <c r="E206" s="6" t="s">
        <v>439</v>
      </c>
      <c r="F206" s="6" t="s">
        <v>561</v>
      </c>
      <c r="G206" s="6" t="s">
        <v>16</v>
      </c>
      <c r="H206" s="5">
        <v>3</v>
      </c>
      <c r="I206" s="6" t="s">
        <v>562</v>
      </c>
      <c r="J206" s="5">
        <v>705</v>
      </c>
    </row>
    <row r="207" s="2" customFormat="1" spans="1:10">
      <c r="A207" s="6">
        <f>205</f>
        <v>205</v>
      </c>
      <c r="B207" s="6" t="s">
        <v>563</v>
      </c>
      <c r="C207" s="6" t="s">
        <v>12</v>
      </c>
      <c r="D207" s="6" t="s">
        <v>13</v>
      </c>
      <c r="E207" s="6" t="s">
        <v>439</v>
      </c>
      <c r="F207" s="6" t="s">
        <v>564</v>
      </c>
      <c r="G207" s="6" t="s">
        <v>16</v>
      </c>
      <c r="H207" s="5">
        <v>1</v>
      </c>
      <c r="I207" s="6" t="s">
        <v>564</v>
      </c>
      <c r="J207" s="5">
        <v>220</v>
      </c>
    </row>
    <row r="208" s="2" customFormat="1" spans="1:10">
      <c r="A208" s="6">
        <f>206</f>
        <v>206</v>
      </c>
      <c r="B208" s="6" t="s">
        <v>565</v>
      </c>
      <c r="C208" s="6" t="s">
        <v>12</v>
      </c>
      <c r="D208" s="6" t="s">
        <v>13</v>
      </c>
      <c r="E208" s="6" t="s">
        <v>439</v>
      </c>
      <c r="F208" s="6" t="s">
        <v>566</v>
      </c>
      <c r="G208" s="6" t="s">
        <v>16</v>
      </c>
      <c r="H208" s="5">
        <v>1</v>
      </c>
      <c r="I208" s="6" t="s">
        <v>566</v>
      </c>
      <c r="J208" s="5">
        <v>240</v>
      </c>
    </row>
    <row r="209" s="2" customFormat="1" spans="1:10">
      <c r="A209" s="6">
        <f>207</f>
        <v>207</v>
      </c>
      <c r="B209" s="6" t="s">
        <v>567</v>
      </c>
      <c r="C209" s="6" t="s">
        <v>12</v>
      </c>
      <c r="D209" s="6" t="s">
        <v>13</v>
      </c>
      <c r="E209" s="6" t="s">
        <v>439</v>
      </c>
      <c r="F209" s="6" t="s">
        <v>568</v>
      </c>
      <c r="G209" s="6" t="s">
        <v>16</v>
      </c>
      <c r="H209" s="5">
        <v>1</v>
      </c>
      <c r="I209" s="6" t="s">
        <v>568</v>
      </c>
      <c r="J209" s="5">
        <v>245</v>
      </c>
    </row>
    <row r="210" s="2" customFormat="1" spans="1:10">
      <c r="A210" s="6">
        <f>208</f>
        <v>208</v>
      </c>
      <c r="B210" s="6" t="s">
        <v>569</v>
      </c>
      <c r="C210" s="6" t="s">
        <v>12</v>
      </c>
      <c r="D210" s="6" t="s">
        <v>13</v>
      </c>
      <c r="E210" s="6" t="s">
        <v>439</v>
      </c>
      <c r="F210" s="6" t="s">
        <v>570</v>
      </c>
      <c r="G210" s="6" t="s">
        <v>16</v>
      </c>
      <c r="H210" s="5">
        <v>2</v>
      </c>
      <c r="I210" s="6" t="s">
        <v>571</v>
      </c>
      <c r="J210" s="5">
        <v>600</v>
      </c>
    </row>
    <row r="211" s="2" customFormat="1" spans="1:10">
      <c r="A211" s="6">
        <f>209</f>
        <v>209</v>
      </c>
      <c r="B211" s="6" t="s">
        <v>572</v>
      </c>
      <c r="C211" s="6" t="s">
        <v>12</v>
      </c>
      <c r="D211" s="6" t="s">
        <v>13</v>
      </c>
      <c r="E211" s="6" t="s">
        <v>439</v>
      </c>
      <c r="F211" s="6" t="s">
        <v>573</v>
      </c>
      <c r="G211" s="6" t="s">
        <v>16</v>
      </c>
      <c r="H211" s="5">
        <v>1</v>
      </c>
      <c r="I211" s="6" t="s">
        <v>573</v>
      </c>
      <c r="J211" s="5">
        <v>260</v>
      </c>
    </row>
    <row r="212" s="2" customFormat="1" spans="1:10">
      <c r="A212" s="6">
        <f>210</f>
        <v>210</v>
      </c>
      <c r="B212" s="6" t="s">
        <v>574</v>
      </c>
      <c r="C212" s="6" t="s">
        <v>12</v>
      </c>
      <c r="D212" s="6" t="s">
        <v>13</v>
      </c>
      <c r="E212" s="6" t="s">
        <v>439</v>
      </c>
      <c r="F212" s="6" t="s">
        <v>575</v>
      </c>
      <c r="G212" s="6" t="s">
        <v>16</v>
      </c>
      <c r="H212" s="5">
        <v>2</v>
      </c>
      <c r="I212" s="6" t="s">
        <v>576</v>
      </c>
      <c r="J212" s="5">
        <v>490</v>
      </c>
    </row>
    <row r="213" s="2" customFormat="1" ht="27" spans="1:10">
      <c r="A213" s="6">
        <f>211</f>
        <v>211</v>
      </c>
      <c r="B213" s="6" t="s">
        <v>577</v>
      </c>
      <c r="C213" s="6" t="s">
        <v>12</v>
      </c>
      <c r="D213" s="6" t="s">
        <v>13</v>
      </c>
      <c r="E213" s="6" t="s">
        <v>439</v>
      </c>
      <c r="F213" s="6" t="s">
        <v>578</v>
      </c>
      <c r="G213" s="6" t="s">
        <v>16</v>
      </c>
      <c r="H213" s="5">
        <v>5</v>
      </c>
      <c r="I213" s="6" t="s">
        <v>579</v>
      </c>
      <c r="J213" s="5">
        <v>840</v>
      </c>
    </row>
    <row r="214" s="2" customFormat="1" spans="1:10">
      <c r="A214" s="6">
        <f>212</f>
        <v>212</v>
      </c>
      <c r="B214" s="6" t="s">
        <v>580</v>
      </c>
      <c r="C214" s="6" t="s">
        <v>12</v>
      </c>
      <c r="D214" s="6" t="s">
        <v>13</v>
      </c>
      <c r="E214" s="6" t="s">
        <v>439</v>
      </c>
      <c r="F214" s="6" t="s">
        <v>581</v>
      </c>
      <c r="G214" s="6" t="s">
        <v>16</v>
      </c>
      <c r="H214" s="5">
        <v>1</v>
      </c>
      <c r="I214" s="6" t="s">
        <v>581</v>
      </c>
      <c r="J214" s="5">
        <v>360</v>
      </c>
    </row>
    <row r="215" s="2" customFormat="1" spans="1:10">
      <c r="A215" s="6">
        <f>213</f>
        <v>213</v>
      </c>
      <c r="B215" s="6" t="s">
        <v>582</v>
      </c>
      <c r="C215" s="6" t="s">
        <v>12</v>
      </c>
      <c r="D215" s="6" t="s">
        <v>13</v>
      </c>
      <c r="E215" s="6" t="s">
        <v>439</v>
      </c>
      <c r="F215" s="6" t="s">
        <v>583</v>
      </c>
      <c r="G215" s="6" t="s">
        <v>16</v>
      </c>
      <c r="H215" s="5">
        <v>1</v>
      </c>
      <c r="I215" s="6" t="s">
        <v>583</v>
      </c>
      <c r="J215" s="5">
        <v>220</v>
      </c>
    </row>
    <row r="216" s="2" customFormat="1" spans="1:10">
      <c r="A216" s="6">
        <f>214</f>
        <v>214</v>
      </c>
      <c r="B216" s="6" t="s">
        <v>584</v>
      </c>
      <c r="C216" s="6" t="s">
        <v>12</v>
      </c>
      <c r="D216" s="6" t="s">
        <v>13</v>
      </c>
      <c r="E216" s="6" t="s">
        <v>439</v>
      </c>
      <c r="F216" s="6" t="s">
        <v>585</v>
      </c>
      <c r="G216" s="6" t="s">
        <v>16</v>
      </c>
      <c r="H216" s="5">
        <v>1</v>
      </c>
      <c r="I216" s="6" t="s">
        <v>585</v>
      </c>
      <c r="J216" s="5">
        <v>220</v>
      </c>
    </row>
    <row r="217" s="2" customFormat="1" ht="27" spans="1:10">
      <c r="A217" s="6">
        <f>215</f>
        <v>215</v>
      </c>
      <c r="B217" s="6" t="s">
        <v>586</v>
      </c>
      <c r="C217" s="6" t="s">
        <v>12</v>
      </c>
      <c r="D217" s="6" t="s">
        <v>13</v>
      </c>
      <c r="E217" s="6" t="s">
        <v>439</v>
      </c>
      <c r="F217" s="6" t="s">
        <v>587</v>
      </c>
      <c r="G217" s="6" t="s">
        <v>16</v>
      </c>
      <c r="H217" s="5">
        <v>4</v>
      </c>
      <c r="I217" s="6" t="s">
        <v>588</v>
      </c>
      <c r="J217" s="5">
        <v>660</v>
      </c>
    </row>
    <row r="218" s="2" customFormat="1" spans="1:10">
      <c r="A218" s="6">
        <f>216</f>
        <v>216</v>
      </c>
      <c r="B218" s="6" t="s">
        <v>589</v>
      </c>
      <c r="C218" s="6" t="s">
        <v>12</v>
      </c>
      <c r="D218" s="6" t="s">
        <v>13</v>
      </c>
      <c r="E218" s="6" t="s">
        <v>439</v>
      </c>
      <c r="F218" s="6" t="s">
        <v>590</v>
      </c>
      <c r="G218" s="6" t="s">
        <v>16</v>
      </c>
      <c r="H218" s="5">
        <v>3</v>
      </c>
      <c r="I218" s="6" t="s">
        <v>591</v>
      </c>
      <c r="J218" s="5">
        <v>600</v>
      </c>
    </row>
    <row r="219" s="2" customFormat="1" spans="1:10">
      <c r="A219" s="6">
        <f>217</f>
        <v>217</v>
      </c>
      <c r="B219" s="6" t="s">
        <v>592</v>
      </c>
      <c r="C219" s="6" t="s">
        <v>12</v>
      </c>
      <c r="D219" s="6" t="s">
        <v>13</v>
      </c>
      <c r="E219" s="6" t="s">
        <v>439</v>
      </c>
      <c r="F219" s="6" t="s">
        <v>593</v>
      </c>
      <c r="G219" s="6" t="s">
        <v>16</v>
      </c>
      <c r="H219" s="5">
        <v>3</v>
      </c>
      <c r="I219" s="6" t="s">
        <v>594</v>
      </c>
      <c r="J219" s="5">
        <v>785</v>
      </c>
    </row>
    <row r="220" s="2" customFormat="1" spans="1:10">
      <c r="A220" s="6">
        <f>218</f>
        <v>218</v>
      </c>
      <c r="B220" s="6" t="s">
        <v>595</v>
      </c>
      <c r="C220" s="6" t="s">
        <v>12</v>
      </c>
      <c r="D220" s="6" t="s">
        <v>13</v>
      </c>
      <c r="E220" s="6" t="s">
        <v>439</v>
      </c>
      <c r="F220" s="6" t="s">
        <v>596</v>
      </c>
      <c r="G220" s="6" t="s">
        <v>16</v>
      </c>
      <c r="H220" s="5">
        <v>3</v>
      </c>
      <c r="I220" s="6" t="s">
        <v>597</v>
      </c>
      <c r="J220" s="5">
        <v>580</v>
      </c>
    </row>
    <row r="221" s="2" customFormat="1" spans="1:10">
      <c r="A221" s="6">
        <f>219</f>
        <v>219</v>
      </c>
      <c r="B221" s="6" t="s">
        <v>598</v>
      </c>
      <c r="C221" s="6" t="s">
        <v>12</v>
      </c>
      <c r="D221" s="6" t="s">
        <v>13</v>
      </c>
      <c r="E221" s="6" t="s">
        <v>439</v>
      </c>
      <c r="F221" s="6" t="s">
        <v>599</v>
      </c>
      <c r="G221" s="6" t="s">
        <v>16</v>
      </c>
      <c r="H221" s="5">
        <v>1</v>
      </c>
      <c r="I221" s="6" t="s">
        <v>599</v>
      </c>
      <c r="J221" s="5">
        <v>240</v>
      </c>
    </row>
    <row r="222" s="2" customFormat="1" spans="1:10">
      <c r="A222" s="6">
        <f>220</f>
        <v>220</v>
      </c>
      <c r="B222" s="6" t="s">
        <v>600</v>
      </c>
      <c r="C222" s="6" t="s">
        <v>12</v>
      </c>
      <c r="D222" s="6" t="s">
        <v>13</v>
      </c>
      <c r="E222" s="6" t="s">
        <v>439</v>
      </c>
      <c r="F222" s="6" t="s">
        <v>601</v>
      </c>
      <c r="G222" s="6" t="s">
        <v>16</v>
      </c>
      <c r="H222" s="5">
        <v>2</v>
      </c>
      <c r="I222" s="6" t="s">
        <v>602</v>
      </c>
      <c r="J222" s="5">
        <v>470</v>
      </c>
    </row>
    <row r="223" s="2" customFormat="1" spans="1:10">
      <c r="A223" s="6">
        <f>221</f>
        <v>221</v>
      </c>
      <c r="B223" s="6" t="s">
        <v>603</v>
      </c>
      <c r="C223" s="6" t="s">
        <v>12</v>
      </c>
      <c r="D223" s="6" t="s">
        <v>13</v>
      </c>
      <c r="E223" s="6" t="s">
        <v>439</v>
      </c>
      <c r="F223" s="6" t="s">
        <v>604</v>
      </c>
      <c r="G223" s="6" t="s">
        <v>16</v>
      </c>
      <c r="H223" s="5">
        <v>2</v>
      </c>
      <c r="I223" s="6" t="s">
        <v>605</v>
      </c>
      <c r="J223" s="5">
        <v>490</v>
      </c>
    </row>
    <row r="224" s="2" customFormat="1" spans="1:10">
      <c r="A224" s="6">
        <f>222</f>
        <v>222</v>
      </c>
      <c r="B224" s="6" t="s">
        <v>606</v>
      </c>
      <c r="C224" s="6" t="s">
        <v>12</v>
      </c>
      <c r="D224" s="6" t="s">
        <v>13</v>
      </c>
      <c r="E224" s="6" t="s">
        <v>439</v>
      </c>
      <c r="F224" s="6" t="s">
        <v>607</v>
      </c>
      <c r="G224" s="6" t="s">
        <v>16</v>
      </c>
      <c r="H224" s="5">
        <v>2</v>
      </c>
      <c r="I224" s="6" t="s">
        <v>608</v>
      </c>
      <c r="J224" s="5">
        <v>420</v>
      </c>
    </row>
    <row r="225" s="2" customFormat="1" spans="1:10">
      <c r="A225" s="6">
        <f>223</f>
        <v>223</v>
      </c>
      <c r="B225" s="6" t="s">
        <v>609</v>
      </c>
      <c r="C225" s="6" t="s">
        <v>12</v>
      </c>
      <c r="D225" s="6" t="s">
        <v>13</v>
      </c>
      <c r="E225" s="6" t="s">
        <v>439</v>
      </c>
      <c r="F225" s="6" t="s">
        <v>610</v>
      </c>
      <c r="G225" s="6" t="s">
        <v>16</v>
      </c>
      <c r="H225" s="5">
        <v>2</v>
      </c>
      <c r="I225" s="6" t="s">
        <v>611</v>
      </c>
      <c r="J225" s="5">
        <v>540</v>
      </c>
    </row>
    <row r="226" s="2" customFormat="1" ht="27" spans="1:10">
      <c r="A226" s="6">
        <f>224</f>
        <v>224</v>
      </c>
      <c r="B226" s="6" t="s">
        <v>612</v>
      </c>
      <c r="C226" s="6" t="s">
        <v>12</v>
      </c>
      <c r="D226" s="6" t="s">
        <v>13</v>
      </c>
      <c r="E226" s="6" t="s">
        <v>439</v>
      </c>
      <c r="F226" s="6" t="s">
        <v>613</v>
      </c>
      <c r="G226" s="6" t="s">
        <v>16</v>
      </c>
      <c r="H226" s="5">
        <v>4</v>
      </c>
      <c r="I226" s="6" t="s">
        <v>614</v>
      </c>
      <c r="J226" s="5">
        <v>725</v>
      </c>
    </row>
    <row r="227" s="2" customFormat="1" spans="1:10">
      <c r="A227" s="6">
        <f>225</f>
        <v>225</v>
      </c>
      <c r="B227" s="6" t="s">
        <v>615</v>
      </c>
      <c r="C227" s="6" t="s">
        <v>12</v>
      </c>
      <c r="D227" s="6" t="s">
        <v>13</v>
      </c>
      <c r="E227" s="6" t="s">
        <v>439</v>
      </c>
      <c r="F227" s="6" t="s">
        <v>616</v>
      </c>
      <c r="G227" s="6" t="s">
        <v>16</v>
      </c>
      <c r="H227" s="5">
        <v>2</v>
      </c>
      <c r="I227" s="6" t="s">
        <v>617</v>
      </c>
      <c r="J227" s="5">
        <v>820</v>
      </c>
    </row>
    <row r="228" s="2" customFormat="1" ht="27" spans="1:10">
      <c r="A228" s="6">
        <f>226</f>
        <v>226</v>
      </c>
      <c r="B228" s="6" t="s">
        <v>618</v>
      </c>
      <c r="C228" s="6" t="s">
        <v>12</v>
      </c>
      <c r="D228" s="6" t="s">
        <v>13</v>
      </c>
      <c r="E228" s="6" t="s">
        <v>439</v>
      </c>
      <c r="F228" s="6" t="s">
        <v>619</v>
      </c>
      <c r="G228" s="6" t="s">
        <v>16</v>
      </c>
      <c r="H228" s="5">
        <v>4</v>
      </c>
      <c r="I228" s="6" t="s">
        <v>620</v>
      </c>
      <c r="J228" s="5">
        <v>1200</v>
      </c>
    </row>
    <row r="229" s="2" customFormat="1" spans="1:10">
      <c r="A229" s="6">
        <f>227</f>
        <v>227</v>
      </c>
      <c r="B229" s="6" t="s">
        <v>621</v>
      </c>
      <c r="C229" s="6" t="s">
        <v>12</v>
      </c>
      <c r="D229" s="6" t="s">
        <v>13</v>
      </c>
      <c r="E229" s="6" t="s">
        <v>439</v>
      </c>
      <c r="F229" s="6" t="s">
        <v>622</v>
      </c>
      <c r="G229" s="6" t="s">
        <v>16</v>
      </c>
      <c r="H229" s="5">
        <v>2</v>
      </c>
      <c r="I229" s="6" t="s">
        <v>623</v>
      </c>
      <c r="J229" s="5">
        <v>1200</v>
      </c>
    </row>
    <row r="230" s="2" customFormat="1" spans="1:10">
      <c r="A230" s="6">
        <f>228</f>
        <v>228</v>
      </c>
      <c r="B230" s="6" t="s">
        <v>624</v>
      </c>
      <c r="C230" s="6" t="s">
        <v>12</v>
      </c>
      <c r="D230" s="6" t="s">
        <v>13</v>
      </c>
      <c r="E230" s="6" t="s">
        <v>439</v>
      </c>
      <c r="F230" s="6" t="s">
        <v>625</v>
      </c>
      <c r="G230" s="6" t="s">
        <v>16</v>
      </c>
      <c r="H230" s="5">
        <v>1</v>
      </c>
      <c r="I230" s="6" t="s">
        <v>625</v>
      </c>
      <c r="J230" s="5">
        <v>600</v>
      </c>
    </row>
    <row r="231" s="2" customFormat="1" spans="1:10">
      <c r="A231" s="6">
        <f>229</f>
        <v>229</v>
      </c>
      <c r="B231" s="6" t="s">
        <v>626</v>
      </c>
      <c r="C231" s="6" t="s">
        <v>12</v>
      </c>
      <c r="D231" s="6" t="s">
        <v>13</v>
      </c>
      <c r="E231" s="6" t="s">
        <v>627</v>
      </c>
      <c r="F231" s="6" t="s">
        <v>628</v>
      </c>
      <c r="G231" s="6" t="s">
        <v>16</v>
      </c>
      <c r="H231" s="5">
        <v>2</v>
      </c>
      <c r="I231" s="6" t="s">
        <v>629</v>
      </c>
      <c r="J231" s="5">
        <v>1020</v>
      </c>
    </row>
    <row r="232" s="2" customFormat="1" ht="40.5" spans="1:10">
      <c r="A232" s="6">
        <f>230</f>
        <v>230</v>
      </c>
      <c r="B232" s="6" t="s">
        <v>630</v>
      </c>
      <c r="C232" s="6" t="s">
        <v>12</v>
      </c>
      <c r="D232" s="6" t="s">
        <v>13</v>
      </c>
      <c r="E232" s="6" t="s">
        <v>627</v>
      </c>
      <c r="F232" s="6" t="s">
        <v>631</v>
      </c>
      <c r="G232" s="6" t="s">
        <v>16</v>
      </c>
      <c r="H232" s="5">
        <v>8</v>
      </c>
      <c r="I232" s="6" t="s">
        <v>632</v>
      </c>
      <c r="J232" s="5">
        <v>1680</v>
      </c>
    </row>
    <row r="233" s="2" customFormat="1" spans="1:10">
      <c r="A233" s="6">
        <f>231</f>
        <v>231</v>
      </c>
      <c r="B233" s="6" t="s">
        <v>633</v>
      </c>
      <c r="C233" s="6" t="s">
        <v>12</v>
      </c>
      <c r="D233" s="6" t="s">
        <v>13</v>
      </c>
      <c r="E233" s="6" t="s">
        <v>627</v>
      </c>
      <c r="F233" s="6" t="s">
        <v>440</v>
      </c>
      <c r="G233" s="6" t="s">
        <v>16</v>
      </c>
      <c r="H233" s="5">
        <v>2</v>
      </c>
      <c r="I233" s="6" t="s">
        <v>634</v>
      </c>
      <c r="J233" s="5">
        <v>720</v>
      </c>
    </row>
    <row r="234" s="2" customFormat="1" spans="1:10">
      <c r="A234" s="6">
        <f>232</f>
        <v>232</v>
      </c>
      <c r="B234" s="6" t="s">
        <v>635</v>
      </c>
      <c r="C234" s="6" t="s">
        <v>12</v>
      </c>
      <c r="D234" s="6" t="s">
        <v>13</v>
      </c>
      <c r="E234" s="6" t="s">
        <v>627</v>
      </c>
      <c r="F234" s="6" t="s">
        <v>636</v>
      </c>
      <c r="G234" s="6" t="s">
        <v>16</v>
      </c>
      <c r="H234" s="5">
        <v>2</v>
      </c>
      <c r="I234" s="6" t="s">
        <v>637</v>
      </c>
      <c r="J234" s="5">
        <v>1040</v>
      </c>
    </row>
    <row r="235" s="2" customFormat="1" ht="27" spans="1:10">
      <c r="A235" s="6">
        <f>233</f>
        <v>233</v>
      </c>
      <c r="B235" s="6" t="s">
        <v>638</v>
      </c>
      <c r="C235" s="6" t="s">
        <v>12</v>
      </c>
      <c r="D235" s="6" t="s">
        <v>13</v>
      </c>
      <c r="E235" s="6" t="s">
        <v>627</v>
      </c>
      <c r="F235" s="6" t="s">
        <v>639</v>
      </c>
      <c r="G235" s="6" t="s">
        <v>16</v>
      </c>
      <c r="H235" s="5">
        <v>4</v>
      </c>
      <c r="I235" s="6" t="s">
        <v>640</v>
      </c>
      <c r="J235" s="5">
        <v>1090</v>
      </c>
    </row>
    <row r="236" s="2" customFormat="1" spans="1:10">
      <c r="A236" s="6">
        <f>234</f>
        <v>234</v>
      </c>
      <c r="B236" s="6" t="s">
        <v>641</v>
      </c>
      <c r="C236" s="6" t="s">
        <v>12</v>
      </c>
      <c r="D236" s="6" t="s">
        <v>13</v>
      </c>
      <c r="E236" s="6" t="s">
        <v>627</v>
      </c>
      <c r="F236" s="6" t="s">
        <v>642</v>
      </c>
      <c r="G236" s="6" t="s">
        <v>16</v>
      </c>
      <c r="H236" s="5">
        <v>1</v>
      </c>
      <c r="I236" s="6" t="s">
        <v>642</v>
      </c>
      <c r="J236" s="5">
        <v>573</v>
      </c>
    </row>
    <row r="237" s="2" customFormat="1" spans="1:10">
      <c r="A237" s="6">
        <f>235</f>
        <v>235</v>
      </c>
      <c r="B237" s="6" t="s">
        <v>643</v>
      </c>
      <c r="C237" s="6" t="s">
        <v>12</v>
      </c>
      <c r="D237" s="6" t="s">
        <v>13</v>
      </c>
      <c r="E237" s="6" t="s">
        <v>627</v>
      </c>
      <c r="F237" s="6" t="s">
        <v>644</v>
      </c>
      <c r="G237" s="6" t="s">
        <v>16</v>
      </c>
      <c r="H237" s="5">
        <v>2</v>
      </c>
      <c r="I237" s="6" t="s">
        <v>645</v>
      </c>
      <c r="J237" s="5">
        <v>780</v>
      </c>
    </row>
    <row r="238" s="2" customFormat="1" spans="1:10">
      <c r="A238" s="6">
        <f>236</f>
        <v>236</v>
      </c>
      <c r="B238" s="6" t="s">
        <v>646</v>
      </c>
      <c r="C238" s="6" t="s">
        <v>12</v>
      </c>
      <c r="D238" s="6" t="s">
        <v>13</v>
      </c>
      <c r="E238" s="6" t="s">
        <v>627</v>
      </c>
      <c r="F238" s="6" t="s">
        <v>647</v>
      </c>
      <c r="G238" s="6" t="s">
        <v>16</v>
      </c>
      <c r="H238" s="5">
        <v>3</v>
      </c>
      <c r="I238" s="6" t="s">
        <v>648</v>
      </c>
      <c r="J238" s="5">
        <v>1080</v>
      </c>
    </row>
    <row r="239" s="2" customFormat="1" spans="1:10">
      <c r="A239" s="6">
        <f>237</f>
        <v>237</v>
      </c>
      <c r="B239" s="6" t="s">
        <v>649</v>
      </c>
      <c r="C239" s="6" t="s">
        <v>12</v>
      </c>
      <c r="D239" s="6" t="s">
        <v>13</v>
      </c>
      <c r="E239" s="6" t="s">
        <v>627</v>
      </c>
      <c r="F239" s="6" t="s">
        <v>650</v>
      </c>
      <c r="G239" s="6" t="s">
        <v>16</v>
      </c>
      <c r="H239" s="5">
        <v>2</v>
      </c>
      <c r="I239" s="6" t="s">
        <v>651</v>
      </c>
      <c r="J239" s="5">
        <v>1020</v>
      </c>
    </row>
    <row r="240" s="2" customFormat="1" spans="1:10">
      <c r="A240" s="6">
        <f>238</f>
        <v>238</v>
      </c>
      <c r="B240" s="6" t="s">
        <v>652</v>
      </c>
      <c r="C240" s="6" t="s">
        <v>12</v>
      </c>
      <c r="D240" s="6" t="s">
        <v>13</v>
      </c>
      <c r="E240" s="6" t="s">
        <v>627</v>
      </c>
      <c r="F240" s="6" t="s">
        <v>653</v>
      </c>
      <c r="G240" s="6" t="s">
        <v>16</v>
      </c>
      <c r="H240" s="5">
        <v>1</v>
      </c>
      <c r="I240" s="6" t="s">
        <v>653</v>
      </c>
      <c r="J240" s="5">
        <v>510</v>
      </c>
    </row>
    <row r="241" s="2" customFormat="1" spans="1:10">
      <c r="A241" s="6">
        <f>239</f>
        <v>239</v>
      </c>
      <c r="B241" s="6" t="s">
        <v>654</v>
      </c>
      <c r="C241" s="6" t="s">
        <v>12</v>
      </c>
      <c r="D241" s="6" t="s">
        <v>13</v>
      </c>
      <c r="E241" s="6" t="s">
        <v>627</v>
      </c>
      <c r="F241" s="6" t="s">
        <v>655</v>
      </c>
      <c r="G241" s="6" t="s">
        <v>16</v>
      </c>
      <c r="H241" s="5">
        <v>1</v>
      </c>
      <c r="I241" s="6" t="s">
        <v>655</v>
      </c>
      <c r="J241" s="5">
        <v>540</v>
      </c>
    </row>
    <row r="242" s="2" customFormat="1" spans="1:10">
      <c r="A242" s="6">
        <f>240</f>
        <v>240</v>
      </c>
      <c r="B242" s="6" t="s">
        <v>656</v>
      </c>
      <c r="C242" s="6" t="s">
        <v>12</v>
      </c>
      <c r="D242" s="6" t="s">
        <v>13</v>
      </c>
      <c r="E242" s="6" t="s">
        <v>627</v>
      </c>
      <c r="F242" s="6" t="s">
        <v>657</v>
      </c>
      <c r="G242" s="6" t="s">
        <v>16</v>
      </c>
      <c r="H242" s="5">
        <v>3</v>
      </c>
      <c r="I242" s="6" t="s">
        <v>658</v>
      </c>
      <c r="J242" s="5">
        <v>880</v>
      </c>
    </row>
    <row r="243" s="2" customFormat="1" spans="1:10">
      <c r="A243" s="6">
        <f>241</f>
        <v>241</v>
      </c>
      <c r="B243" s="6" t="s">
        <v>659</v>
      </c>
      <c r="C243" s="6" t="s">
        <v>12</v>
      </c>
      <c r="D243" s="6" t="s">
        <v>13</v>
      </c>
      <c r="E243" s="6" t="s">
        <v>627</v>
      </c>
      <c r="F243" s="6" t="s">
        <v>660</v>
      </c>
      <c r="G243" s="6" t="s">
        <v>16</v>
      </c>
      <c r="H243" s="5">
        <v>2</v>
      </c>
      <c r="I243" s="6" t="s">
        <v>661</v>
      </c>
      <c r="J243" s="5">
        <v>720</v>
      </c>
    </row>
    <row r="244" s="2" customFormat="1" spans="1:10">
      <c r="A244" s="6">
        <f>242</f>
        <v>242</v>
      </c>
      <c r="B244" s="6" t="s">
        <v>662</v>
      </c>
      <c r="C244" s="6" t="s">
        <v>12</v>
      </c>
      <c r="D244" s="6" t="s">
        <v>13</v>
      </c>
      <c r="E244" s="6" t="s">
        <v>627</v>
      </c>
      <c r="F244" s="6" t="s">
        <v>663</v>
      </c>
      <c r="G244" s="6" t="s">
        <v>16</v>
      </c>
      <c r="H244" s="5">
        <v>1</v>
      </c>
      <c r="I244" s="6" t="s">
        <v>663</v>
      </c>
      <c r="J244" s="5">
        <v>270</v>
      </c>
    </row>
    <row r="245" s="2" customFormat="1" ht="27" spans="1:10">
      <c r="A245" s="6">
        <f>243</f>
        <v>243</v>
      </c>
      <c r="B245" s="6" t="s">
        <v>664</v>
      </c>
      <c r="C245" s="6" t="s">
        <v>12</v>
      </c>
      <c r="D245" s="6" t="s">
        <v>13</v>
      </c>
      <c r="E245" s="6" t="s">
        <v>627</v>
      </c>
      <c r="F245" s="6" t="s">
        <v>665</v>
      </c>
      <c r="G245" s="6" t="s">
        <v>16</v>
      </c>
      <c r="H245" s="5">
        <v>4</v>
      </c>
      <c r="I245" s="6" t="s">
        <v>666</v>
      </c>
      <c r="J245" s="5">
        <v>1040</v>
      </c>
    </row>
    <row r="246" s="2" customFormat="1" spans="1:10">
      <c r="A246" s="6">
        <f>244</f>
        <v>244</v>
      </c>
      <c r="B246" s="6" t="s">
        <v>667</v>
      </c>
      <c r="C246" s="6" t="s">
        <v>12</v>
      </c>
      <c r="D246" s="6" t="s">
        <v>13</v>
      </c>
      <c r="E246" s="6" t="s">
        <v>627</v>
      </c>
      <c r="F246" s="6" t="s">
        <v>668</v>
      </c>
      <c r="G246" s="6" t="s">
        <v>16</v>
      </c>
      <c r="H246" s="5">
        <v>2</v>
      </c>
      <c r="I246" s="6" t="s">
        <v>669</v>
      </c>
      <c r="J246" s="5">
        <v>820</v>
      </c>
    </row>
    <row r="247" s="2" customFormat="1" spans="1:10">
      <c r="A247" s="6">
        <f>245</f>
        <v>245</v>
      </c>
      <c r="B247" s="6" t="s">
        <v>670</v>
      </c>
      <c r="C247" s="6" t="s">
        <v>12</v>
      </c>
      <c r="D247" s="6" t="s">
        <v>13</v>
      </c>
      <c r="E247" s="6" t="s">
        <v>627</v>
      </c>
      <c r="F247" s="6" t="s">
        <v>671</v>
      </c>
      <c r="G247" s="6" t="s">
        <v>16</v>
      </c>
      <c r="H247" s="5">
        <v>3</v>
      </c>
      <c r="I247" s="6" t="s">
        <v>672</v>
      </c>
      <c r="J247" s="5">
        <v>580</v>
      </c>
    </row>
    <row r="248" s="2" customFormat="1" spans="1:10">
      <c r="A248" s="6">
        <f>246</f>
        <v>246</v>
      </c>
      <c r="B248" s="6" t="s">
        <v>673</v>
      </c>
      <c r="C248" s="6" t="s">
        <v>12</v>
      </c>
      <c r="D248" s="6" t="s">
        <v>13</v>
      </c>
      <c r="E248" s="6" t="s">
        <v>627</v>
      </c>
      <c r="F248" s="6" t="s">
        <v>674</v>
      </c>
      <c r="G248" s="6" t="s">
        <v>16</v>
      </c>
      <c r="H248" s="5">
        <v>1</v>
      </c>
      <c r="I248" s="6" t="s">
        <v>674</v>
      </c>
      <c r="J248" s="5">
        <v>520</v>
      </c>
    </row>
    <row r="249" s="2" customFormat="1" spans="1:10">
      <c r="A249" s="6">
        <f>247</f>
        <v>247</v>
      </c>
      <c r="B249" s="6" t="s">
        <v>675</v>
      </c>
      <c r="C249" s="6" t="s">
        <v>12</v>
      </c>
      <c r="D249" s="6" t="s">
        <v>13</v>
      </c>
      <c r="E249" s="6" t="s">
        <v>627</v>
      </c>
      <c r="F249" s="6" t="s">
        <v>676</v>
      </c>
      <c r="G249" s="6" t="s">
        <v>16</v>
      </c>
      <c r="H249" s="5">
        <v>2</v>
      </c>
      <c r="I249" s="6" t="s">
        <v>677</v>
      </c>
      <c r="J249" s="5">
        <v>620</v>
      </c>
    </row>
    <row r="250" s="2" customFormat="1" spans="1:10">
      <c r="A250" s="6">
        <f>248</f>
        <v>248</v>
      </c>
      <c r="B250" s="6" t="s">
        <v>678</v>
      </c>
      <c r="C250" s="6" t="s">
        <v>12</v>
      </c>
      <c r="D250" s="6" t="s">
        <v>13</v>
      </c>
      <c r="E250" s="6" t="s">
        <v>627</v>
      </c>
      <c r="F250" s="6" t="s">
        <v>679</v>
      </c>
      <c r="G250" s="6" t="s">
        <v>16</v>
      </c>
      <c r="H250" s="5">
        <v>1</v>
      </c>
      <c r="I250" s="6" t="s">
        <v>679</v>
      </c>
      <c r="J250" s="5">
        <v>440</v>
      </c>
    </row>
    <row r="251" s="2" customFormat="1" spans="1:10">
      <c r="A251" s="6">
        <f>249</f>
        <v>249</v>
      </c>
      <c r="B251" s="6" t="s">
        <v>680</v>
      </c>
      <c r="C251" s="6" t="s">
        <v>12</v>
      </c>
      <c r="D251" s="6" t="s">
        <v>13</v>
      </c>
      <c r="E251" s="6" t="s">
        <v>627</v>
      </c>
      <c r="F251" s="6" t="s">
        <v>681</v>
      </c>
      <c r="G251" s="6" t="s">
        <v>16</v>
      </c>
      <c r="H251" s="5">
        <v>1</v>
      </c>
      <c r="I251" s="6" t="s">
        <v>681</v>
      </c>
      <c r="J251" s="5">
        <v>510</v>
      </c>
    </row>
    <row r="252" s="2" customFormat="1" ht="27" spans="1:10">
      <c r="A252" s="6">
        <f>250</f>
        <v>250</v>
      </c>
      <c r="B252" s="6" t="s">
        <v>682</v>
      </c>
      <c r="C252" s="6" t="s">
        <v>12</v>
      </c>
      <c r="D252" s="6" t="s">
        <v>13</v>
      </c>
      <c r="E252" s="6" t="s">
        <v>627</v>
      </c>
      <c r="F252" s="6" t="s">
        <v>683</v>
      </c>
      <c r="G252" s="6" t="s">
        <v>16</v>
      </c>
      <c r="H252" s="5">
        <v>6</v>
      </c>
      <c r="I252" s="6" t="s">
        <v>684</v>
      </c>
      <c r="J252" s="5">
        <v>1160</v>
      </c>
    </row>
    <row r="253" s="2" customFormat="1" spans="1:10">
      <c r="A253" s="6">
        <f>251</f>
        <v>251</v>
      </c>
      <c r="B253" s="6" t="s">
        <v>685</v>
      </c>
      <c r="C253" s="6" t="s">
        <v>12</v>
      </c>
      <c r="D253" s="6" t="s">
        <v>13</v>
      </c>
      <c r="E253" s="6" t="s">
        <v>627</v>
      </c>
      <c r="F253" s="6" t="s">
        <v>686</v>
      </c>
      <c r="G253" s="6" t="s">
        <v>16</v>
      </c>
      <c r="H253" s="5">
        <v>1</v>
      </c>
      <c r="I253" s="6" t="s">
        <v>686</v>
      </c>
      <c r="J253" s="5">
        <v>460</v>
      </c>
    </row>
    <row r="254" s="2" customFormat="1" spans="1:10">
      <c r="A254" s="6">
        <f>252</f>
        <v>252</v>
      </c>
      <c r="B254" s="6" t="s">
        <v>687</v>
      </c>
      <c r="C254" s="6" t="s">
        <v>12</v>
      </c>
      <c r="D254" s="6" t="s">
        <v>13</v>
      </c>
      <c r="E254" s="6" t="s">
        <v>627</v>
      </c>
      <c r="F254" s="6" t="s">
        <v>688</v>
      </c>
      <c r="G254" s="6" t="s">
        <v>16</v>
      </c>
      <c r="H254" s="5">
        <v>2</v>
      </c>
      <c r="I254" s="6" t="s">
        <v>689</v>
      </c>
      <c r="J254" s="5">
        <v>540</v>
      </c>
    </row>
    <row r="255" s="2" customFormat="1" spans="1:10">
      <c r="A255" s="6">
        <f>253</f>
        <v>253</v>
      </c>
      <c r="B255" s="6" t="s">
        <v>690</v>
      </c>
      <c r="C255" s="6" t="s">
        <v>12</v>
      </c>
      <c r="D255" s="6" t="s">
        <v>13</v>
      </c>
      <c r="E255" s="6" t="s">
        <v>627</v>
      </c>
      <c r="F255" s="6" t="s">
        <v>691</v>
      </c>
      <c r="G255" s="6" t="s">
        <v>16</v>
      </c>
      <c r="H255" s="5">
        <v>1</v>
      </c>
      <c r="I255" s="6" t="s">
        <v>691</v>
      </c>
      <c r="J255" s="5">
        <v>360</v>
      </c>
    </row>
    <row r="256" s="2" customFormat="1" spans="1:10">
      <c r="A256" s="6">
        <f>254</f>
        <v>254</v>
      </c>
      <c r="B256" s="6" t="s">
        <v>692</v>
      </c>
      <c r="C256" s="6" t="s">
        <v>12</v>
      </c>
      <c r="D256" s="6" t="s">
        <v>13</v>
      </c>
      <c r="E256" s="6" t="s">
        <v>627</v>
      </c>
      <c r="F256" s="6" t="s">
        <v>693</v>
      </c>
      <c r="G256" s="6" t="s">
        <v>16</v>
      </c>
      <c r="H256" s="5">
        <v>2</v>
      </c>
      <c r="I256" s="6" t="s">
        <v>694</v>
      </c>
      <c r="J256" s="5">
        <v>510</v>
      </c>
    </row>
    <row r="257" s="2" customFormat="1" spans="1:10">
      <c r="A257" s="6">
        <f>255</f>
        <v>255</v>
      </c>
      <c r="B257" s="6" t="s">
        <v>695</v>
      </c>
      <c r="C257" s="6" t="s">
        <v>12</v>
      </c>
      <c r="D257" s="6" t="s">
        <v>13</v>
      </c>
      <c r="E257" s="6" t="s">
        <v>627</v>
      </c>
      <c r="F257" s="6" t="s">
        <v>696</v>
      </c>
      <c r="G257" s="6" t="s">
        <v>16</v>
      </c>
      <c r="H257" s="5">
        <v>3</v>
      </c>
      <c r="I257" s="6" t="s">
        <v>697</v>
      </c>
      <c r="J257" s="5">
        <v>720</v>
      </c>
    </row>
    <row r="258" s="2" customFormat="1" spans="1:10">
      <c r="A258" s="6">
        <f>256</f>
        <v>256</v>
      </c>
      <c r="B258" s="6" t="s">
        <v>698</v>
      </c>
      <c r="C258" s="6" t="s">
        <v>12</v>
      </c>
      <c r="D258" s="6" t="s">
        <v>13</v>
      </c>
      <c r="E258" s="6" t="s">
        <v>627</v>
      </c>
      <c r="F258" s="6" t="s">
        <v>699</v>
      </c>
      <c r="G258" s="6" t="s">
        <v>16</v>
      </c>
      <c r="H258" s="5">
        <v>1</v>
      </c>
      <c r="I258" s="6" t="s">
        <v>699</v>
      </c>
      <c r="J258" s="5">
        <v>270</v>
      </c>
    </row>
    <row r="259" s="2" customFormat="1" spans="1:10">
      <c r="A259" s="6">
        <f>257</f>
        <v>257</v>
      </c>
      <c r="B259" s="6" t="s">
        <v>700</v>
      </c>
      <c r="C259" s="6" t="s">
        <v>12</v>
      </c>
      <c r="D259" s="6" t="s">
        <v>13</v>
      </c>
      <c r="E259" s="6" t="s">
        <v>627</v>
      </c>
      <c r="F259" s="6" t="s">
        <v>701</v>
      </c>
      <c r="G259" s="6" t="s">
        <v>16</v>
      </c>
      <c r="H259" s="5">
        <v>2</v>
      </c>
      <c r="I259" s="6" t="s">
        <v>702</v>
      </c>
      <c r="J259" s="5">
        <v>740</v>
      </c>
    </row>
    <row r="260" s="2" customFormat="1" spans="1:10">
      <c r="A260" s="6">
        <f>258</f>
        <v>258</v>
      </c>
      <c r="B260" s="6" t="s">
        <v>703</v>
      </c>
      <c r="C260" s="6" t="s">
        <v>12</v>
      </c>
      <c r="D260" s="6" t="s">
        <v>13</v>
      </c>
      <c r="E260" s="6" t="s">
        <v>627</v>
      </c>
      <c r="F260" s="6" t="s">
        <v>704</v>
      </c>
      <c r="G260" s="6" t="s">
        <v>16</v>
      </c>
      <c r="H260" s="5">
        <v>2</v>
      </c>
      <c r="I260" s="6" t="s">
        <v>705</v>
      </c>
      <c r="J260" s="5">
        <v>920</v>
      </c>
    </row>
    <row r="261" s="2" customFormat="1" ht="27" spans="1:10">
      <c r="A261" s="6">
        <f>259</f>
        <v>259</v>
      </c>
      <c r="B261" s="6" t="s">
        <v>706</v>
      </c>
      <c r="C261" s="6" t="s">
        <v>12</v>
      </c>
      <c r="D261" s="6" t="s">
        <v>13</v>
      </c>
      <c r="E261" s="6" t="s">
        <v>627</v>
      </c>
      <c r="F261" s="6" t="s">
        <v>707</v>
      </c>
      <c r="G261" s="6" t="s">
        <v>16</v>
      </c>
      <c r="H261" s="5">
        <v>4</v>
      </c>
      <c r="I261" s="6" t="s">
        <v>708</v>
      </c>
      <c r="J261" s="5">
        <v>840</v>
      </c>
    </row>
    <row r="262" s="2" customFormat="1" ht="40.5" spans="1:10">
      <c r="A262" s="6">
        <f>260</f>
        <v>260</v>
      </c>
      <c r="B262" s="6" t="s">
        <v>709</v>
      </c>
      <c r="C262" s="6" t="s">
        <v>12</v>
      </c>
      <c r="D262" s="6" t="s">
        <v>13</v>
      </c>
      <c r="E262" s="6" t="s">
        <v>627</v>
      </c>
      <c r="F262" s="6" t="s">
        <v>710</v>
      </c>
      <c r="G262" s="6" t="s">
        <v>16</v>
      </c>
      <c r="H262" s="5">
        <v>7</v>
      </c>
      <c r="I262" s="6" t="s">
        <v>711</v>
      </c>
      <c r="J262" s="5">
        <v>1320</v>
      </c>
    </row>
    <row r="263" s="2" customFormat="1" spans="1:10">
      <c r="A263" s="6">
        <f>261</f>
        <v>261</v>
      </c>
      <c r="B263" s="6" t="s">
        <v>712</v>
      </c>
      <c r="C263" s="6" t="s">
        <v>12</v>
      </c>
      <c r="D263" s="6" t="s">
        <v>13</v>
      </c>
      <c r="E263" s="6" t="s">
        <v>627</v>
      </c>
      <c r="F263" s="6" t="s">
        <v>713</v>
      </c>
      <c r="G263" s="6" t="s">
        <v>16</v>
      </c>
      <c r="H263" s="5">
        <v>2</v>
      </c>
      <c r="I263" s="6" t="s">
        <v>714</v>
      </c>
      <c r="J263" s="5">
        <v>420</v>
      </c>
    </row>
    <row r="264" s="2" customFormat="1" spans="1:10">
      <c r="A264" s="6">
        <f>262</f>
        <v>262</v>
      </c>
      <c r="B264" s="6" t="s">
        <v>715</v>
      </c>
      <c r="C264" s="6" t="s">
        <v>12</v>
      </c>
      <c r="D264" s="6" t="s">
        <v>13</v>
      </c>
      <c r="E264" s="6" t="s">
        <v>627</v>
      </c>
      <c r="F264" s="6" t="s">
        <v>716</v>
      </c>
      <c r="G264" s="6" t="s">
        <v>16</v>
      </c>
      <c r="H264" s="5">
        <v>2</v>
      </c>
      <c r="I264" s="6" t="s">
        <v>717</v>
      </c>
      <c r="J264" s="5">
        <v>1020</v>
      </c>
    </row>
    <row r="265" s="2" customFormat="1" spans="1:10">
      <c r="A265" s="6">
        <f>263</f>
        <v>263</v>
      </c>
      <c r="B265" s="6" t="s">
        <v>718</v>
      </c>
      <c r="C265" s="6" t="s">
        <v>12</v>
      </c>
      <c r="D265" s="6" t="s">
        <v>13</v>
      </c>
      <c r="E265" s="6" t="s">
        <v>627</v>
      </c>
      <c r="F265" s="6" t="s">
        <v>719</v>
      </c>
      <c r="G265" s="6" t="s">
        <v>16</v>
      </c>
      <c r="H265" s="5">
        <v>1</v>
      </c>
      <c r="I265" s="6" t="s">
        <v>719</v>
      </c>
      <c r="J265" s="5">
        <v>360</v>
      </c>
    </row>
    <row r="266" s="2" customFormat="1" spans="1:10">
      <c r="A266" s="6">
        <f>264</f>
        <v>264</v>
      </c>
      <c r="B266" s="6" t="s">
        <v>720</v>
      </c>
      <c r="C266" s="6" t="s">
        <v>12</v>
      </c>
      <c r="D266" s="6" t="s">
        <v>13</v>
      </c>
      <c r="E266" s="6" t="s">
        <v>627</v>
      </c>
      <c r="F266" s="6" t="s">
        <v>721</v>
      </c>
      <c r="G266" s="6" t="s">
        <v>16</v>
      </c>
      <c r="H266" s="5">
        <v>1</v>
      </c>
      <c r="I266" s="6" t="s">
        <v>721</v>
      </c>
      <c r="J266" s="5">
        <v>360</v>
      </c>
    </row>
    <row r="267" s="2" customFormat="1" spans="1:10">
      <c r="A267" s="6">
        <f>265</f>
        <v>265</v>
      </c>
      <c r="B267" s="6" t="s">
        <v>722</v>
      </c>
      <c r="C267" s="6" t="s">
        <v>12</v>
      </c>
      <c r="D267" s="6" t="s">
        <v>13</v>
      </c>
      <c r="E267" s="6" t="s">
        <v>627</v>
      </c>
      <c r="F267" s="6" t="s">
        <v>723</v>
      </c>
      <c r="G267" s="6" t="s">
        <v>16</v>
      </c>
      <c r="H267" s="5">
        <v>1</v>
      </c>
      <c r="I267" s="6" t="s">
        <v>723</v>
      </c>
      <c r="J267" s="5">
        <v>410</v>
      </c>
    </row>
    <row r="268" s="2" customFormat="1" spans="1:10">
      <c r="A268" s="6">
        <f>266</f>
        <v>266</v>
      </c>
      <c r="B268" s="6" t="s">
        <v>724</v>
      </c>
      <c r="C268" s="6" t="s">
        <v>12</v>
      </c>
      <c r="D268" s="6" t="s">
        <v>13</v>
      </c>
      <c r="E268" s="6" t="s">
        <v>627</v>
      </c>
      <c r="F268" s="6" t="s">
        <v>725</v>
      </c>
      <c r="G268" s="6" t="s">
        <v>16</v>
      </c>
      <c r="H268" s="5">
        <v>2</v>
      </c>
      <c r="I268" s="6" t="s">
        <v>726</v>
      </c>
      <c r="J268" s="5">
        <v>530</v>
      </c>
    </row>
    <row r="269" s="2" customFormat="1" spans="1:10">
      <c r="A269" s="6">
        <f>267</f>
        <v>267</v>
      </c>
      <c r="B269" s="6" t="s">
        <v>727</v>
      </c>
      <c r="C269" s="6" t="s">
        <v>12</v>
      </c>
      <c r="D269" s="6" t="s">
        <v>13</v>
      </c>
      <c r="E269" s="6" t="s">
        <v>627</v>
      </c>
      <c r="F269" s="6" t="s">
        <v>728</v>
      </c>
      <c r="G269" s="6" t="s">
        <v>16</v>
      </c>
      <c r="H269" s="5">
        <v>2</v>
      </c>
      <c r="I269" s="6" t="s">
        <v>729</v>
      </c>
      <c r="J269" s="5">
        <v>1020</v>
      </c>
    </row>
    <row r="270" s="2" customFormat="1" ht="27" spans="1:10">
      <c r="A270" s="6">
        <f>268</f>
        <v>268</v>
      </c>
      <c r="B270" s="6" t="s">
        <v>730</v>
      </c>
      <c r="C270" s="6" t="s">
        <v>12</v>
      </c>
      <c r="D270" s="6" t="s">
        <v>13</v>
      </c>
      <c r="E270" s="6" t="s">
        <v>627</v>
      </c>
      <c r="F270" s="6" t="s">
        <v>731</v>
      </c>
      <c r="G270" s="6" t="s">
        <v>16</v>
      </c>
      <c r="H270" s="5">
        <v>4</v>
      </c>
      <c r="I270" s="6" t="s">
        <v>732</v>
      </c>
      <c r="J270" s="5">
        <v>1060</v>
      </c>
    </row>
    <row r="271" s="2" customFormat="1" spans="1:10">
      <c r="A271" s="6">
        <f>269</f>
        <v>269</v>
      </c>
      <c r="B271" s="6" t="s">
        <v>733</v>
      </c>
      <c r="C271" s="6" t="s">
        <v>12</v>
      </c>
      <c r="D271" s="6" t="s">
        <v>13</v>
      </c>
      <c r="E271" s="6" t="s">
        <v>627</v>
      </c>
      <c r="F271" s="6" t="s">
        <v>734</v>
      </c>
      <c r="G271" s="6" t="s">
        <v>16</v>
      </c>
      <c r="H271" s="5">
        <v>2</v>
      </c>
      <c r="I271" s="6" t="s">
        <v>735</v>
      </c>
      <c r="J271" s="5">
        <v>620</v>
      </c>
    </row>
    <row r="272" s="2" customFormat="1" spans="1:10">
      <c r="A272" s="6">
        <f>270</f>
        <v>270</v>
      </c>
      <c r="B272" s="6" t="s">
        <v>736</v>
      </c>
      <c r="C272" s="6" t="s">
        <v>12</v>
      </c>
      <c r="D272" s="6" t="s">
        <v>13</v>
      </c>
      <c r="E272" s="6" t="s">
        <v>627</v>
      </c>
      <c r="F272" s="6" t="s">
        <v>737</v>
      </c>
      <c r="G272" s="6" t="s">
        <v>16</v>
      </c>
      <c r="H272" s="5">
        <v>3</v>
      </c>
      <c r="I272" s="6" t="s">
        <v>738</v>
      </c>
      <c r="J272" s="5">
        <v>745</v>
      </c>
    </row>
    <row r="273" s="2" customFormat="1" spans="1:10">
      <c r="A273" s="6">
        <f>271</f>
        <v>271</v>
      </c>
      <c r="B273" s="6" t="s">
        <v>739</v>
      </c>
      <c r="C273" s="6" t="s">
        <v>12</v>
      </c>
      <c r="D273" s="6" t="s">
        <v>13</v>
      </c>
      <c r="E273" s="6" t="s">
        <v>627</v>
      </c>
      <c r="F273" s="6" t="s">
        <v>740</v>
      </c>
      <c r="G273" s="6" t="s">
        <v>16</v>
      </c>
      <c r="H273" s="5">
        <v>3</v>
      </c>
      <c r="I273" s="6" t="s">
        <v>741</v>
      </c>
      <c r="J273" s="5">
        <v>960</v>
      </c>
    </row>
    <row r="274" s="2" customFormat="1" ht="27" spans="1:10">
      <c r="A274" s="6">
        <f>272</f>
        <v>272</v>
      </c>
      <c r="B274" s="6" t="s">
        <v>742</v>
      </c>
      <c r="C274" s="6" t="s">
        <v>12</v>
      </c>
      <c r="D274" s="6" t="s">
        <v>13</v>
      </c>
      <c r="E274" s="6" t="s">
        <v>743</v>
      </c>
      <c r="F274" s="6" t="s">
        <v>744</v>
      </c>
      <c r="G274" s="6" t="s">
        <v>16</v>
      </c>
      <c r="H274" s="5">
        <v>5</v>
      </c>
      <c r="I274" s="6" t="s">
        <v>745</v>
      </c>
      <c r="J274" s="5">
        <v>1300</v>
      </c>
    </row>
    <row r="275" s="2" customFormat="1" spans="1:10">
      <c r="A275" s="6">
        <f>273</f>
        <v>273</v>
      </c>
      <c r="B275" s="6" t="s">
        <v>746</v>
      </c>
      <c r="C275" s="6" t="s">
        <v>12</v>
      </c>
      <c r="D275" s="6" t="s">
        <v>13</v>
      </c>
      <c r="E275" s="6" t="s">
        <v>743</v>
      </c>
      <c r="F275" s="6" t="s">
        <v>747</v>
      </c>
      <c r="G275" s="6" t="s">
        <v>16</v>
      </c>
      <c r="H275" s="5">
        <v>3</v>
      </c>
      <c r="I275" s="6" t="s">
        <v>748</v>
      </c>
      <c r="J275" s="5">
        <v>480</v>
      </c>
    </row>
    <row r="276" s="2" customFormat="1" ht="27" spans="1:10">
      <c r="A276" s="6">
        <f>274</f>
        <v>274</v>
      </c>
      <c r="B276" s="6" t="s">
        <v>749</v>
      </c>
      <c r="C276" s="6" t="s">
        <v>12</v>
      </c>
      <c r="D276" s="6" t="s">
        <v>13</v>
      </c>
      <c r="E276" s="6" t="s">
        <v>743</v>
      </c>
      <c r="F276" s="6" t="s">
        <v>750</v>
      </c>
      <c r="G276" s="6" t="s">
        <v>16</v>
      </c>
      <c r="H276" s="5">
        <v>4</v>
      </c>
      <c r="I276" s="6" t="s">
        <v>751</v>
      </c>
      <c r="J276" s="5">
        <v>840</v>
      </c>
    </row>
    <row r="277" s="2" customFormat="1" spans="1:10">
      <c r="A277" s="6">
        <f>275</f>
        <v>275</v>
      </c>
      <c r="B277" s="6" t="s">
        <v>752</v>
      </c>
      <c r="C277" s="6" t="s">
        <v>12</v>
      </c>
      <c r="D277" s="6" t="s">
        <v>13</v>
      </c>
      <c r="E277" s="6" t="s">
        <v>743</v>
      </c>
      <c r="F277" s="6" t="s">
        <v>753</v>
      </c>
      <c r="G277" s="6" t="s">
        <v>16</v>
      </c>
      <c r="H277" s="5">
        <v>1</v>
      </c>
      <c r="I277" s="6" t="s">
        <v>753</v>
      </c>
      <c r="J277" s="5">
        <v>573</v>
      </c>
    </row>
    <row r="278" s="2" customFormat="1" spans="1:10">
      <c r="A278" s="6">
        <f>276</f>
        <v>276</v>
      </c>
      <c r="B278" s="6" t="s">
        <v>754</v>
      </c>
      <c r="C278" s="6" t="s">
        <v>12</v>
      </c>
      <c r="D278" s="6" t="s">
        <v>13</v>
      </c>
      <c r="E278" s="6" t="s">
        <v>743</v>
      </c>
      <c r="F278" s="6" t="s">
        <v>755</v>
      </c>
      <c r="G278" s="6" t="s">
        <v>16</v>
      </c>
      <c r="H278" s="5">
        <v>1</v>
      </c>
      <c r="I278" s="6" t="s">
        <v>755</v>
      </c>
      <c r="J278" s="5">
        <v>490</v>
      </c>
    </row>
    <row r="279" s="2" customFormat="1" spans="1:10">
      <c r="A279" s="6">
        <f>277</f>
        <v>277</v>
      </c>
      <c r="B279" s="6" t="s">
        <v>756</v>
      </c>
      <c r="C279" s="6" t="s">
        <v>12</v>
      </c>
      <c r="D279" s="6" t="s">
        <v>13</v>
      </c>
      <c r="E279" s="6" t="s">
        <v>743</v>
      </c>
      <c r="F279" s="6" t="s">
        <v>757</v>
      </c>
      <c r="G279" s="6" t="s">
        <v>16</v>
      </c>
      <c r="H279" s="5">
        <v>1</v>
      </c>
      <c r="I279" s="6" t="s">
        <v>757</v>
      </c>
      <c r="J279" s="5">
        <v>573</v>
      </c>
    </row>
    <row r="280" s="2" customFormat="1" spans="1:10">
      <c r="A280" s="6">
        <f>278</f>
        <v>278</v>
      </c>
      <c r="B280" s="6" t="s">
        <v>758</v>
      </c>
      <c r="C280" s="6" t="s">
        <v>12</v>
      </c>
      <c r="D280" s="6" t="s">
        <v>13</v>
      </c>
      <c r="E280" s="6" t="s">
        <v>743</v>
      </c>
      <c r="F280" s="6" t="s">
        <v>759</v>
      </c>
      <c r="G280" s="6" t="s">
        <v>16</v>
      </c>
      <c r="H280" s="5">
        <v>2</v>
      </c>
      <c r="I280" s="6" t="s">
        <v>760</v>
      </c>
      <c r="J280" s="5">
        <v>530</v>
      </c>
    </row>
    <row r="281" s="2" customFormat="1" ht="27" spans="1:10">
      <c r="A281" s="6">
        <f>279</f>
        <v>279</v>
      </c>
      <c r="B281" s="6" t="s">
        <v>761</v>
      </c>
      <c r="C281" s="6" t="s">
        <v>12</v>
      </c>
      <c r="D281" s="6" t="s">
        <v>13</v>
      </c>
      <c r="E281" s="6" t="s">
        <v>743</v>
      </c>
      <c r="F281" s="6" t="s">
        <v>762</v>
      </c>
      <c r="G281" s="6" t="s">
        <v>16</v>
      </c>
      <c r="H281" s="5">
        <v>4</v>
      </c>
      <c r="I281" s="6" t="s">
        <v>763</v>
      </c>
      <c r="J281" s="5">
        <v>760</v>
      </c>
    </row>
    <row r="282" s="2" customFormat="1" spans="1:10">
      <c r="A282" s="6">
        <f>280</f>
        <v>280</v>
      </c>
      <c r="B282" s="6" t="s">
        <v>764</v>
      </c>
      <c r="C282" s="6" t="s">
        <v>12</v>
      </c>
      <c r="D282" s="6" t="s">
        <v>13</v>
      </c>
      <c r="E282" s="6" t="s">
        <v>743</v>
      </c>
      <c r="F282" s="6" t="s">
        <v>765</v>
      </c>
      <c r="G282" s="6" t="s">
        <v>16</v>
      </c>
      <c r="H282" s="5">
        <v>2</v>
      </c>
      <c r="I282" s="6" t="s">
        <v>766</v>
      </c>
      <c r="J282" s="5">
        <v>400</v>
      </c>
    </row>
    <row r="283" s="2" customFormat="1" ht="27" spans="1:10">
      <c r="A283" s="6">
        <f>281</f>
        <v>281</v>
      </c>
      <c r="B283" s="6" t="s">
        <v>767</v>
      </c>
      <c r="C283" s="6" t="s">
        <v>12</v>
      </c>
      <c r="D283" s="6" t="s">
        <v>13</v>
      </c>
      <c r="E283" s="6" t="s">
        <v>743</v>
      </c>
      <c r="F283" s="6" t="s">
        <v>768</v>
      </c>
      <c r="G283" s="6" t="s">
        <v>16</v>
      </c>
      <c r="H283" s="5">
        <v>5</v>
      </c>
      <c r="I283" s="6" t="s">
        <v>769</v>
      </c>
      <c r="J283" s="5">
        <v>750</v>
      </c>
    </row>
    <row r="284" s="2" customFormat="1" spans="1:10">
      <c r="A284" s="6">
        <f>282</f>
        <v>282</v>
      </c>
      <c r="B284" s="6" t="s">
        <v>770</v>
      </c>
      <c r="C284" s="6" t="s">
        <v>12</v>
      </c>
      <c r="D284" s="6" t="s">
        <v>13</v>
      </c>
      <c r="E284" s="6" t="s">
        <v>743</v>
      </c>
      <c r="F284" s="6" t="s">
        <v>771</v>
      </c>
      <c r="G284" s="6" t="s">
        <v>16</v>
      </c>
      <c r="H284" s="5">
        <v>2</v>
      </c>
      <c r="I284" s="6" t="s">
        <v>772</v>
      </c>
      <c r="J284" s="5">
        <v>740</v>
      </c>
    </row>
    <row r="285" s="2" customFormat="1" spans="1:10">
      <c r="A285" s="6">
        <f>283</f>
        <v>283</v>
      </c>
      <c r="B285" s="6" t="s">
        <v>773</v>
      </c>
      <c r="C285" s="6" t="s">
        <v>12</v>
      </c>
      <c r="D285" s="6" t="s">
        <v>13</v>
      </c>
      <c r="E285" s="6" t="s">
        <v>743</v>
      </c>
      <c r="F285" s="6" t="s">
        <v>774</v>
      </c>
      <c r="G285" s="6" t="s">
        <v>16</v>
      </c>
      <c r="H285" s="5">
        <v>2</v>
      </c>
      <c r="I285" s="6" t="s">
        <v>775</v>
      </c>
      <c r="J285" s="5">
        <v>380</v>
      </c>
    </row>
    <row r="286" s="2" customFormat="1" spans="1:10">
      <c r="A286" s="6">
        <f>284</f>
        <v>284</v>
      </c>
      <c r="B286" s="6" t="s">
        <v>776</v>
      </c>
      <c r="C286" s="6" t="s">
        <v>12</v>
      </c>
      <c r="D286" s="6" t="s">
        <v>13</v>
      </c>
      <c r="E286" s="6" t="s">
        <v>743</v>
      </c>
      <c r="F286" s="6" t="s">
        <v>777</v>
      </c>
      <c r="G286" s="6" t="s">
        <v>16</v>
      </c>
      <c r="H286" s="5">
        <v>1</v>
      </c>
      <c r="I286" s="6" t="s">
        <v>777</v>
      </c>
      <c r="J286" s="5">
        <v>245</v>
      </c>
    </row>
    <row r="287" s="2" customFormat="1" spans="1:10">
      <c r="A287" s="6">
        <f>285</f>
        <v>285</v>
      </c>
      <c r="B287" s="6" t="s">
        <v>778</v>
      </c>
      <c r="C287" s="6" t="s">
        <v>12</v>
      </c>
      <c r="D287" s="6" t="s">
        <v>13</v>
      </c>
      <c r="E287" s="6" t="s">
        <v>743</v>
      </c>
      <c r="F287" s="6" t="s">
        <v>779</v>
      </c>
      <c r="G287" s="6" t="s">
        <v>16</v>
      </c>
      <c r="H287" s="5">
        <v>1</v>
      </c>
      <c r="I287" s="6" t="s">
        <v>779</v>
      </c>
      <c r="J287" s="5">
        <v>250</v>
      </c>
    </row>
    <row r="288" s="2" customFormat="1" spans="1:10">
      <c r="A288" s="6">
        <f>286</f>
        <v>286</v>
      </c>
      <c r="B288" s="6" t="s">
        <v>780</v>
      </c>
      <c r="C288" s="6" t="s">
        <v>12</v>
      </c>
      <c r="D288" s="6" t="s">
        <v>13</v>
      </c>
      <c r="E288" s="6" t="s">
        <v>743</v>
      </c>
      <c r="F288" s="6" t="s">
        <v>781</v>
      </c>
      <c r="G288" s="6" t="s">
        <v>16</v>
      </c>
      <c r="H288" s="5">
        <v>1</v>
      </c>
      <c r="I288" s="6" t="s">
        <v>781</v>
      </c>
      <c r="J288" s="5">
        <v>245</v>
      </c>
    </row>
    <row r="289" s="2" customFormat="1" spans="1:10">
      <c r="A289" s="6">
        <f>287</f>
        <v>287</v>
      </c>
      <c r="B289" s="6" t="s">
        <v>782</v>
      </c>
      <c r="C289" s="6" t="s">
        <v>12</v>
      </c>
      <c r="D289" s="6" t="s">
        <v>13</v>
      </c>
      <c r="E289" s="6" t="s">
        <v>743</v>
      </c>
      <c r="F289" s="6" t="s">
        <v>783</v>
      </c>
      <c r="G289" s="6" t="s">
        <v>16</v>
      </c>
      <c r="H289" s="5">
        <v>1</v>
      </c>
      <c r="I289" s="6" t="s">
        <v>783</v>
      </c>
      <c r="J289" s="5">
        <v>210</v>
      </c>
    </row>
    <row r="290" s="2" customFormat="1" spans="1:10">
      <c r="A290" s="6">
        <f>288</f>
        <v>288</v>
      </c>
      <c r="B290" s="6" t="s">
        <v>784</v>
      </c>
      <c r="C290" s="6" t="s">
        <v>12</v>
      </c>
      <c r="D290" s="6" t="s">
        <v>13</v>
      </c>
      <c r="E290" s="6" t="s">
        <v>743</v>
      </c>
      <c r="F290" s="6" t="s">
        <v>785</v>
      </c>
      <c r="G290" s="6" t="s">
        <v>16</v>
      </c>
      <c r="H290" s="5">
        <v>1</v>
      </c>
      <c r="I290" s="6" t="s">
        <v>785</v>
      </c>
      <c r="J290" s="5">
        <v>245</v>
      </c>
    </row>
    <row r="291" s="2" customFormat="1" ht="27" spans="1:10">
      <c r="A291" s="6">
        <f>289</f>
        <v>289</v>
      </c>
      <c r="B291" s="6" t="s">
        <v>786</v>
      </c>
      <c r="C291" s="6" t="s">
        <v>12</v>
      </c>
      <c r="D291" s="6" t="s">
        <v>13</v>
      </c>
      <c r="E291" s="6" t="s">
        <v>743</v>
      </c>
      <c r="F291" s="6" t="s">
        <v>787</v>
      </c>
      <c r="G291" s="6" t="s">
        <v>16</v>
      </c>
      <c r="H291" s="5">
        <v>5</v>
      </c>
      <c r="I291" s="6" t="s">
        <v>788</v>
      </c>
      <c r="J291" s="5">
        <v>650</v>
      </c>
    </row>
    <row r="292" s="2" customFormat="1" spans="1:10">
      <c r="A292" s="6">
        <f>290</f>
        <v>290</v>
      </c>
      <c r="B292" s="6" t="s">
        <v>789</v>
      </c>
      <c r="C292" s="6" t="s">
        <v>12</v>
      </c>
      <c r="D292" s="6" t="s">
        <v>13</v>
      </c>
      <c r="E292" s="6" t="s">
        <v>743</v>
      </c>
      <c r="F292" s="6" t="s">
        <v>790</v>
      </c>
      <c r="G292" s="6" t="s">
        <v>16</v>
      </c>
      <c r="H292" s="5">
        <v>2</v>
      </c>
      <c r="I292" s="6" t="s">
        <v>791</v>
      </c>
      <c r="J292" s="5">
        <v>505</v>
      </c>
    </row>
    <row r="293" s="2" customFormat="1" spans="1:10">
      <c r="A293" s="6">
        <f>291</f>
        <v>291</v>
      </c>
      <c r="B293" s="6" t="s">
        <v>792</v>
      </c>
      <c r="C293" s="6" t="s">
        <v>12</v>
      </c>
      <c r="D293" s="6" t="s">
        <v>13</v>
      </c>
      <c r="E293" s="6" t="s">
        <v>743</v>
      </c>
      <c r="F293" s="6" t="s">
        <v>691</v>
      </c>
      <c r="G293" s="6" t="s">
        <v>16</v>
      </c>
      <c r="H293" s="5">
        <v>1</v>
      </c>
      <c r="I293" s="6" t="s">
        <v>691</v>
      </c>
      <c r="J293" s="5">
        <v>455</v>
      </c>
    </row>
    <row r="294" s="2" customFormat="1" spans="1:10">
      <c r="A294" s="6">
        <f>292</f>
        <v>292</v>
      </c>
      <c r="B294" s="6" t="s">
        <v>793</v>
      </c>
      <c r="C294" s="6" t="s">
        <v>12</v>
      </c>
      <c r="D294" s="6" t="s">
        <v>13</v>
      </c>
      <c r="E294" s="6" t="s">
        <v>743</v>
      </c>
      <c r="F294" s="6" t="s">
        <v>794</v>
      </c>
      <c r="G294" s="6" t="s">
        <v>16</v>
      </c>
      <c r="H294" s="5">
        <v>1</v>
      </c>
      <c r="I294" s="6" t="s">
        <v>794</v>
      </c>
      <c r="J294" s="5">
        <v>210</v>
      </c>
    </row>
    <row r="295" s="2" customFormat="1" spans="1:10">
      <c r="A295" s="6">
        <f>293</f>
        <v>293</v>
      </c>
      <c r="B295" s="6" t="s">
        <v>795</v>
      </c>
      <c r="C295" s="6" t="s">
        <v>12</v>
      </c>
      <c r="D295" s="6" t="s">
        <v>13</v>
      </c>
      <c r="E295" s="6" t="s">
        <v>743</v>
      </c>
      <c r="F295" s="6" t="s">
        <v>796</v>
      </c>
      <c r="G295" s="6" t="s">
        <v>16</v>
      </c>
      <c r="H295" s="5">
        <v>1</v>
      </c>
      <c r="I295" s="6" t="s">
        <v>796</v>
      </c>
      <c r="J295" s="5">
        <v>210</v>
      </c>
    </row>
    <row r="296" s="2" customFormat="1" spans="1:10">
      <c r="A296" s="6">
        <f>294</f>
        <v>294</v>
      </c>
      <c r="B296" s="6" t="s">
        <v>797</v>
      </c>
      <c r="C296" s="6" t="s">
        <v>12</v>
      </c>
      <c r="D296" s="6" t="s">
        <v>13</v>
      </c>
      <c r="E296" s="6" t="s">
        <v>743</v>
      </c>
      <c r="F296" s="6" t="s">
        <v>798</v>
      </c>
      <c r="G296" s="6" t="s">
        <v>16</v>
      </c>
      <c r="H296" s="5">
        <v>2</v>
      </c>
      <c r="I296" s="6" t="s">
        <v>799</v>
      </c>
      <c r="J296" s="5">
        <v>420</v>
      </c>
    </row>
    <row r="297" s="2" customFormat="1" spans="1:10">
      <c r="A297" s="6">
        <f>295</f>
        <v>295</v>
      </c>
      <c r="B297" s="6" t="s">
        <v>800</v>
      </c>
      <c r="C297" s="6" t="s">
        <v>12</v>
      </c>
      <c r="D297" s="6" t="s">
        <v>13</v>
      </c>
      <c r="E297" s="6" t="s">
        <v>743</v>
      </c>
      <c r="F297" s="6" t="s">
        <v>801</v>
      </c>
      <c r="G297" s="6" t="s">
        <v>16</v>
      </c>
      <c r="H297" s="5">
        <v>2</v>
      </c>
      <c r="I297" s="6" t="s">
        <v>802</v>
      </c>
      <c r="J297" s="5">
        <v>480</v>
      </c>
    </row>
    <row r="298" s="2" customFormat="1" spans="1:10">
      <c r="A298" s="6">
        <f>296</f>
        <v>296</v>
      </c>
      <c r="B298" s="6" t="s">
        <v>803</v>
      </c>
      <c r="C298" s="6" t="s">
        <v>12</v>
      </c>
      <c r="D298" s="6" t="s">
        <v>13</v>
      </c>
      <c r="E298" s="6" t="s">
        <v>743</v>
      </c>
      <c r="F298" s="6" t="s">
        <v>804</v>
      </c>
      <c r="G298" s="6" t="s">
        <v>16</v>
      </c>
      <c r="H298" s="5">
        <v>1</v>
      </c>
      <c r="I298" s="6" t="s">
        <v>804</v>
      </c>
      <c r="J298" s="5">
        <v>250</v>
      </c>
    </row>
    <row r="299" s="2" customFormat="1" spans="1:10">
      <c r="A299" s="6">
        <f>297</f>
        <v>297</v>
      </c>
      <c r="B299" s="6" t="s">
        <v>805</v>
      </c>
      <c r="C299" s="6" t="s">
        <v>12</v>
      </c>
      <c r="D299" s="6" t="s">
        <v>13</v>
      </c>
      <c r="E299" s="6" t="s">
        <v>743</v>
      </c>
      <c r="F299" s="6" t="s">
        <v>806</v>
      </c>
      <c r="G299" s="6" t="s">
        <v>16</v>
      </c>
      <c r="H299" s="5">
        <v>1</v>
      </c>
      <c r="I299" s="6" t="s">
        <v>806</v>
      </c>
      <c r="J299" s="5">
        <v>220</v>
      </c>
    </row>
    <row r="300" s="2" customFormat="1" spans="1:10">
      <c r="A300" s="6">
        <f>298</f>
        <v>298</v>
      </c>
      <c r="B300" s="6" t="s">
        <v>807</v>
      </c>
      <c r="C300" s="6" t="s">
        <v>12</v>
      </c>
      <c r="D300" s="6" t="s">
        <v>13</v>
      </c>
      <c r="E300" s="6" t="s">
        <v>743</v>
      </c>
      <c r="F300" s="6" t="s">
        <v>808</v>
      </c>
      <c r="G300" s="6" t="s">
        <v>16</v>
      </c>
      <c r="H300" s="5">
        <v>2</v>
      </c>
      <c r="I300" s="6" t="s">
        <v>809</v>
      </c>
      <c r="J300" s="5">
        <v>420</v>
      </c>
    </row>
    <row r="301" s="2" customFormat="1" ht="27" spans="1:10">
      <c r="A301" s="6">
        <f>299</f>
        <v>299</v>
      </c>
      <c r="B301" s="6" t="s">
        <v>810</v>
      </c>
      <c r="C301" s="6" t="s">
        <v>12</v>
      </c>
      <c r="D301" s="6" t="s">
        <v>13</v>
      </c>
      <c r="E301" s="6" t="s">
        <v>743</v>
      </c>
      <c r="F301" s="6" t="s">
        <v>811</v>
      </c>
      <c r="G301" s="6" t="s">
        <v>16</v>
      </c>
      <c r="H301" s="5">
        <v>5</v>
      </c>
      <c r="I301" s="6" t="s">
        <v>812</v>
      </c>
      <c r="J301" s="5">
        <v>800</v>
      </c>
    </row>
    <row r="302" s="2" customFormat="1" spans="1:10">
      <c r="A302" s="6">
        <f>300</f>
        <v>300</v>
      </c>
      <c r="B302" s="6" t="s">
        <v>813</v>
      </c>
      <c r="C302" s="6" t="s">
        <v>12</v>
      </c>
      <c r="D302" s="6" t="s">
        <v>13</v>
      </c>
      <c r="E302" s="6" t="s">
        <v>743</v>
      </c>
      <c r="F302" s="6" t="s">
        <v>814</v>
      </c>
      <c r="G302" s="6" t="s">
        <v>16</v>
      </c>
      <c r="H302" s="5">
        <v>1</v>
      </c>
      <c r="I302" s="6" t="s">
        <v>814</v>
      </c>
      <c r="J302" s="5">
        <v>210</v>
      </c>
    </row>
    <row r="303" s="2" customFormat="1" spans="1:10">
      <c r="A303" s="6">
        <f>301</f>
        <v>301</v>
      </c>
      <c r="B303" s="6" t="s">
        <v>815</v>
      </c>
      <c r="C303" s="6" t="s">
        <v>12</v>
      </c>
      <c r="D303" s="6" t="s">
        <v>13</v>
      </c>
      <c r="E303" s="6" t="s">
        <v>743</v>
      </c>
      <c r="F303" s="6" t="s">
        <v>816</v>
      </c>
      <c r="G303" s="6" t="s">
        <v>16</v>
      </c>
      <c r="H303" s="5">
        <v>1</v>
      </c>
      <c r="I303" s="6" t="s">
        <v>816</v>
      </c>
      <c r="J303" s="5">
        <v>250</v>
      </c>
    </row>
    <row r="304" s="2" customFormat="1" spans="1:10">
      <c r="A304" s="6">
        <f>302</f>
        <v>302</v>
      </c>
      <c r="B304" s="6" t="s">
        <v>817</v>
      </c>
      <c r="C304" s="6" t="s">
        <v>12</v>
      </c>
      <c r="D304" s="6" t="s">
        <v>13</v>
      </c>
      <c r="E304" s="6" t="s">
        <v>743</v>
      </c>
      <c r="F304" s="6" t="s">
        <v>818</v>
      </c>
      <c r="G304" s="6" t="s">
        <v>16</v>
      </c>
      <c r="H304" s="5">
        <v>3</v>
      </c>
      <c r="I304" s="6" t="s">
        <v>819</v>
      </c>
      <c r="J304" s="5">
        <v>480</v>
      </c>
    </row>
    <row r="305" s="2" customFormat="1" spans="1:10">
      <c r="A305" s="6">
        <f>303</f>
        <v>303</v>
      </c>
      <c r="B305" s="6" t="s">
        <v>820</v>
      </c>
      <c r="C305" s="6" t="s">
        <v>12</v>
      </c>
      <c r="D305" s="6" t="s">
        <v>13</v>
      </c>
      <c r="E305" s="6" t="s">
        <v>743</v>
      </c>
      <c r="F305" s="6" t="s">
        <v>821</v>
      </c>
      <c r="G305" s="6" t="s">
        <v>16</v>
      </c>
      <c r="H305" s="5">
        <v>3</v>
      </c>
      <c r="I305" s="6" t="s">
        <v>822</v>
      </c>
      <c r="J305" s="5">
        <v>565</v>
      </c>
    </row>
    <row r="306" s="2" customFormat="1" spans="1:10">
      <c r="A306" s="6">
        <f>304</f>
        <v>304</v>
      </c>
      <c r="B306" s="6" t="s">
        <v>823</v>
      </c>
      <c r="C306" s="6" t="s">
        <v>12</v>
      </c>
      <c r="D306" s="6" t="s">
        <v>13</v>
      </c>
      <c r="E306" s="6" t="s">
        <v>743</v>
      </c>
      <c r="F306" s="6" t="s">
        <v>824</v>
      </c>
      <c r="G306" s="6" t="s">
        <v>16</v>
      </c>
      <c r="H306" s="5">
        <v>1</v>
      </c>
      <c r="I306" s="6" t="s">
        <v>824</v>
      </c>
      <c r="J306" s="5">
        <v>245</v>
      </c>
    </row>
    <row r="307" s="2" customFormat="1" spans="1:10">
      <c r="A307" s="6">
        <f>305</f>
        <v>305</v>
      </c>
      <c r="B307" s="6" t="s">
        <v>825</v>
      </c>
      <c r="C307" s="6" t="s">
        <v>12</v>
      </c>
      <c r="D307" s="6" t="s">
        <v>13</v>
      </c>
      <c r="E307" s="6" t="s">
        <v>743</v>
      </c>
      <c r="F307" s="6" t="s">
        <v>826</v>
      </c>
      <c r="G307" s="6" t="s">
        <v>16</v>
      </c>
      <c r="H307" s="5">
        <v>2</v>
      </c>
      <c r="I307" s="6" t="s">
        <v>827</v>
      </c>
      <c r="J307" s="5">
        <v>720</v>
      </c>
    </row>
    <row r="308" s="2" customFormat="1" ht="27" spans="1:10">
      <c r="A308" s="6">
        <f>306</f>
        <v>306</v>
      </c>
      <c r="B308" s="6" t="s">
        <v>828</v>
      </c>
      <c r="C308" s="6" t="s">
        <v>12</v>
      </c>
      <c r="D308" s="6" t="s">
        <v>13</v>
      </c>
      <c r="E308" s="6" t="s">
        <v>743</v>
      </c>
      <c r="F308" s="6" t="s">
        <v>829</v>
      </c>
      <c r="G308" s="6" t="s">
        <v>16</v>
      </c>
      <c r="H308" s="5">
        <v>5</v>
      </c>
      <c r="I308" s="6" t="s">
        <v>830</v>
      </c>
      <c r="J308" s="5">
        <v>750</v>
      </c>
    </row>
    <row r="309" s="2" customFormat="1" spans="1:10">
      <c r="A309" s="6">
        <f>307</f>
        <v>307</v>
      </c>
      <c r="B309" s="6" t="s">
        <v>831</v>
      </c>
      <c r="C309" s="6" t="s">
        <v>12</v>
      </c>
      <c r="D309" s="6" t="s">
        <v>13</v>
      </c>
      <c r="E309" s="6" t="s">
        <v>743</v>
      </c>
      <c r="F309" s="6" t="s">
        <v>832</v>
      </c>
      <c r="G309" s="6" t="s">
        <v>16</v>
      </c>
      <c r="H309" s="5">
        <v>1</v>
      </c>
      <c r="I309" s="6" t="s">
        <v>832</v>
      </c>
      <c r="J309" s="5">
        <v>220</v>
      </c>
    </row>
    <row r="310" s="2" customFormat="1" spans="1:10">
      <c r="A310" s="6">
        <f>308</f>
        <v>308</v>
      </c>
      <c r="B310" s="6" t="s">
        <v>833</v>
      </c>
      <c r="C310" s="6" t="s">
        <v>12</v>
      </c>
      <c r="D310" s="6" t="s">
        <v>13</v>
      </c>
      <c r="E310" s="6" t="s">
        <v>743</v>
      </c>
      <c r="F310" s="6" t="s">
        <v>834</v>
      </c>
      <c r="G310" s="6" t="s">
        <v>16</v>
      </c>
      <c r="H310" s="5">
        <v>2</v>
      </c>
      <c r="I310" s="6" t="s">
        <v>835</v>
      </c>
      <c r="J310" s="5">
        <v>670</v>
      </c>
    </row>
    <row r="311" s="2" customFormat="1" ht="27" spans="1:10">
      <c r="A311" s="6">
        <f>309</f>
        <v>309</v>
      </c>
      <c r="B311" s="6" t="s">
        <v>836</v>
      </c>
      <c r="C311" s="6" t="s">
        <v>12</v>
      </c>
      <c r="D311" s="6" t="s">
        <v>13</v>
      </c>
      <c r="E311" s="6" t="s">
        <v>743</v>
      </c>
      <c r="F311" s="6" t="s">
        <v>837</v>
      </c>
      <c r="G311" s="6" t="s">
        <v>16</v>
      </c>
      <c r="H311" s="5">
        <v>4</v>
      </c>
      <c r="I311" s="6" t="s">
        <v>838</v>
      </c>
      <c r="J311" s="5">
        <v>590</v>
      </c>
    </row>
    <row r="312" s="2" customFormat="1" spans="1:10">
      <c r="A312" s="6">
        <f>310</f>
        <v>310</v>
      </c>
      <c r="B312" s="6" t="s">
        <v>839</v>
      </c>
      <c r="C312" s="6" t="s">
        <v>12</v>
      </c>
      <c r="D312" s="6" t="s">
        <v>13</v>
      </c>
      <c r="E312" s="6" t="s">
        <v>743</v>
      </c>
      <c r="F312" s="6" t="s">
        <v>840</v>
      </c>
      <c r="G312" s="6" t="s">
        <v>16</v>
      </c>
      <c r="H312" s="5">
        <v>1</v>
      </c>
      <c r="I312" s="6" t="s">
        <v>840</v>
      </c>
      <c r="J312" s="5">
        <v>220</v>
      </c>
    </row>
    <row r="313" s="2" customFormat="1" spans="1:10">
      <c r="A313" s="6">
        <f>311</f>
        <v>311</v>
      </c>
      <c r="B313" s="6" t="s">
        <v>841</v>
      </c>
      <c r="C313" s="6" t="s">
        <v>12</v>
      </c>
      <c r="D313" s="6" t="s">
        <v>13</v>
      </c>
      <c r="E313" s="6" t="s">
        <v>743</v>
      </c>
      <c r="F313" s="6" t="s">
        <v>842</v>
      </c>
      <c r="G313" s="6" t="s">
        <v>16</v>
      </c>
      <c r="H313" s="5">
        <v>1</v>
      </c>
      <c r="I313" s="6" t="s">
        <v>842</v>
      </c>
      <c r="J313" s="5">
        <v>245</v>
      </c>
    </row>
    <row r="314" s="2" customFormat="1" spans="1:10">
      <c r="A314" s="6">
        <f>312</f>
        <v>312</v>
      </c>
      <c r="B314" s="6" t="s">
        <v>843</v>
      </c>
      <c r="C314" s="6" t="s">
        <v>12</v>
      </c>
      <c r="D314" s="6" t="s">
        <v>13</v>
      </c>
      <c r="E314" s="6" t="s">
        <v>743</v>
      </c>
      <c r="F314" s="6" t="s">
        <v>844</v>
      </c>
      <c r="G314" s="6" t="s">
        <v>16</v>
      </c>
      <c r="H314" s="5">
        <v>3</v>
      </c>
      <c r="I314" s="6" t="s">
        <v>845</v>
      </c>
      <c r="J314" s="5">
        <v>520</v>
      </c>
    </row>
    <row r="315" s="2" customFormat="1" spans="1:10">
      <c r="A315" s="6">
        <f>313</f>
        <v>313</v>
      </c>
      <c r="B315" s="6" t="s">
        <v>846</v>
      </c>
      <c r="C315" s="6" t="s">
        <v>12</v>
      </c>
      <c r="D315" s="6" t="s">
        <v>13</v>
      </c>
      <c r="E315" s="6" t="s">
        <v>743</v>
      </c>
      <c r="F315" s="6" t="s">
        <v>847</v>
      </c>
      <c r="G315" s="6" t="s">
        <v>16</v>
      </c>
      <c r="H315" s="5">
        <v>2</v>
      </c>
      <c r="I315" s="6" t="s">
        <v>848</v>
      </c>
      <c r="J315" s="5">
        <v>400</v>
      </c>
    </row>
    <row r="316" s="2" customFormat="1" spans="1:10">
      <c r="A316" s="6">
        <f>314</f>
        <v>314</v>
      </c>
      <c r="B316" s="6" t="s">
        <v>849</v>
      </c>
      <c r="C316" s="6" t="s">
        <v>12</v>
      </c>
      <c r="D316" s="6" t="s">
        <v>13</v>
      </c>
      <c r="E316" s="6" t="s">
        <v>743</v>
      </c>
      <c r="F316" s="6" t="s">
        <v>850</v>
      </c>
      <c r="G316" s="6" t="s">
        <v>16</v>
      </c>
      <c r="H316" s="5">
        <v>1</v>
      </c>
      <c r="I316" s="6" t="s">
        <v>850</v>
      </c>
      <c r="J316" s="5">
        <v>210</v>
      </c>
    </row>
    <row r="317" s="2" customFormat="1" spans="1:10">
      <c r="A317" s="6">
        <f>315</f>
        <v>315</v>
      </c>
      <c r="B317" s="6" t="s">
        <v>851</v>
      </c>
      <c r="C317" s="6" t="s">
        <v>12</v>
      </c>
      <c r="D317" s="6" t="s">
        <v>13</v>
      </c>
      <c r="E317" s="6" t="s">
        <v>743</v>
      </c>
      <c r="F317" s="6" t="s">
        <v>852</v>
      </c>
      <c r="G317" s="6" t="s">
        <v>16</v>
      </c>
      <c r="H317" s="5">
        <v>2</v>
      </c>
      <c r="I317" s="6" t="s">
        <v>853</v>
      </c>
      <c r="J317" s="5">
        <v>480</v>
      </c>
    </row>
    <row r="318" s="2" customFormat="1" spans="1:10">
      <c r="A318" s="6">
        <f>316</f>
        <v>316</v>
      </c>
      <c r="B318" s="6" t="s">
        <v>854</v>
      </c>
      <c r="C318" s="6" t="s">
        <v>12</v>
      </c>
      <c r="D318" s="6" t="s">
        <v>13</v>
      </c>
      <c r="E318" s="6" t="s">
        <v>743</v>
      </c>
      <c r="F318" s="6" t="s">
        <v>855</v>
      </c>
      <c r="G318" s="6" t="s">
        <v>16</v>
      </c>
      <c r="H318" s="5">
        <v>3</v>
      </c>
      <c r="I318" s="6" t="s">
        <v>856</v>
      </c>
      <c r="J318" s="5">
        <v>530</v>
      </c>
    </row>
    <row r="319" s="2" customFormat="1" ht="27" spans="1:10">
      <c r="A319" s="6">
        <f>317</f>
        <v>317</v>
      </c>
      <c r="B319" s="6" t="s">
        <v>857</v>
      </c>
      <c r="C319" s="6" t="s">
        <v>12</v>
      </c>
      <c r="D319" s="6" t="s">
        <v>13</v>
      </c>
      <c r="E319" s="6" t="s">
        <v>743</v>
      </c>
      <c r="F319" s="6" t="s">
        <v>858</v>
      </c>
      <c r="G319" s="6" t="s">
        <v>16</v>
      </c>
      <c r="H319" s="5">
        <v>4</v>
      </c>
      <c r="I319" s="6" t="s">
        <v>859</v>
      </c>
      <c r="J319" s="5">
        <v>440</v>
      </c>
    </row>
    <row r="320" s="2" customFormat="1" spans="1:10">
      <c r="A320" s="6">
        <f>318</f>
        <v>318</v>
      </c>
      <c r="B320" s="6" t="s">
        <v>860</v>
      </c>
      <c r="C320" s="6" t="s">
        <v>12</v>
      </c>
      <c r="D320" s="6" t="s">
        <v>13</v>
      </c>
      <c r="E320" s="6" t="s">
        <v>743</v>
      </c>
      <c r="F320" s="6" t="s">
        <v>861</v>
      </c>
      <c r="G320" s="6" t="s">
        <v>16</v>
      </c>
      <c r="H320" s="5">
        <v>1</v>
      </c>
      <c r="I320" s="6" t="s">
        <v>861</v>
      </c>
      <c r="J320" s="5">
        <v>245</v>
      </c>
    </row>
    <row r="321" s="2" customFormat="1" spans="1:10">
      <c r="A321" s="6">
        <f>319</f>
        <v>319</v>
      </c>
      <c r="B321" s="6" t="s">
        <v>862</v>
      </c>
      <c r="C321" s="6" t="s">
        <v>12</v>
      </c>
      <c r="D321" s="6" t="s">
        <v>13</v>
      </c>
      <c r="E321" s="6" t="s">
        <v>743</v>
      </c>
      <c r="F321" s="6" t="s">
        <v>863</v>
      </c>
      <c r="G321" s="6" t="s">
        <v>16</v>
      </c>
      <c r="H321" s="5">
        <v>1</v>
      </c>
      <c r="I321" s="6" t="s">
        <v>863</v>
      </c>
      <c r="J321" s="5">
        <v>240</v>
      </c>
    </row>
    <row r="322" s="2" customFormat="1" spans="1:10">
      <c r="A322" s="6">
        <f>320</f>
        <v>320</v>
      </c>
      <c r="B322" s="6" t="s">
        <v>864</v>
      </c>
      <c r="C322" s="6" t="s">
        <v>12</v>
      </c>
      <c r="D322" s="6" t="s">
        <v>13</v>
      </c>
      <c r="E322" s="6" t="s">
        <v>743</v>
      </c>
      <c r="F322" s="6" t="s">
        <v>865</v>
      </c>
      <c r="G322" s="6" t="s">
        <v>16</v>
      </c>
      <c r="H322" s="5">
        <v>3</v>
      </c>
      <c r="I322" s="6" t="s">
        <v>866</v>
      </c>
      <c r="J322" s="5">
        <v>530</v>
      </c>
    </row>
    <row r="323" s="2" customFormat="1" spans="1:10">
      <c r="A323" s="6">
        <f>321</f>
        <v>321</v>
      </c>
      <c r="B323" s="6" t="s">
        <v>867</v>
      </c>
      <c r="C323" s="6" t="s">
        <v>12</v>
      </c>
      <c r="D323" s="6" t="s">
        <v>13</v>
      </c>
      <c r="E323" s="6" t="s">
        <v>743</v>
      </c>
      <c r="F323" s="6" t="s">
        <v>868</v>
      </c>
      <c r="G323" s="6" t="s">
        <v>16</v>
      </c>
      <c r="H323" s="5">
        <v>1</v>
      </c>
      <c r="I323" s="6" t="s">
        <v>868</v>
      </c>
      <c r="J323" s="5">
        <v>245</v>
      </c>
    </row>
    <row r="324" s="2" customFormat="1" ht="27" spans="1:10">
      <c r="A324" s="6">
        <f>322</f>
        <v>322</v>
      </c>
      <c r="B324" s="6" t="s">
        <v>869</v>
      </c>
      <c r="C324" s="6" t="s">
        <v>12</v>
      </c>
      <c r="D324" s="6" t="s">
        <v>13</v>
      </c>
      <c r="E324" s="6" t="s">
        <v>743</v>
      </c>
      <c r="F324" s="6" t="s">
        <v>870</v>
      </c>
      <c r="G324" s="6" t="s">
        <v>16</v>
      </c>
      <c r="H324" s="5">
        <v>4</v>
      </c>
      <c r="I324" s="6" t="s">
        <v>871</v>
      </c>
      <c r="J324" s="5">
        <v>700</v>
      </c>
    </row>
    <row r="325" s="2" customFormat="1" spans="1:10">
      <c r="A325" s="6">
        <f>323</f>
        <v>323</v>
      </c>
      <c r="B325" s="6" t="s">
        <v>872</v>
      </c>
      <c r="C325" s="6" t="s">
        <v>12</v>
      </c>
      <c r="D325" s="6" t="s">
        <v>13</v>
      </c>
      <c r="E325" s="6" t="s">
        <v>743</v>
      </c>
      <c r="F325" s="6" t="s">
        <v>873</v>
      </c>
      <c r="G325" s="6" t="s">
        <v>16</v>
      </c>
      <c r="H325" s="5">
        <v>1</v>
      </c>
      <c r="I325" s="6" t="s">
        <v>873</v>
      </c>
      <c r="J325" s="5">
        <v>210</v>
      </c>
    </row>
    <row r="326" s="2" customFormat="1" spans="1:10">
      <c r="A326" s="6">
        <f>324</f>
        <v>324</v>
      </c>
      <c r="B326" s="6" t="s">
        <v>874</v>
      </c>
      <c r="C326" s="6" t="s">
        <v>12</v>
      </c>
      <c r="D326" s="6" t="s">
        <v>13</v>
      </c>
      <c r="E326" s="6" t="s">
        <v>875</v>
      </c>
      <c r="F326" s="6" t="s">
        <v>876</v>
      </c>
      <c r="G326" s="6" t="s">
        <v>16</v>
      </c>
      <c r="H326" s="5">
        <v>1</v>
      </c>
      <c r="I326" s="6" t="s">
        <v>876</v>
      </c>
      <c r="J326" s="5">
        <v>573</v>
      </c>
    </row>
    <row r="327" s="2" customFormat="1" spans="1:10">
      <c r="A327" s="6">
        <f>325</f>
        <v>325</v>
      </c>
      <c r="B327" s="6" t="s">
        <v>877</v>
      </c>
      <c r="C327" s="6" t="s">
        <v>12</v>
      </c>
      <c r="D327" s="6" t="s">
        <v>13</v>
      </c>
      <c r="E327" s="6" t="s">
        <v>875</v>
      </c>
      <c r="F327" s="6" t="s">
        <v>878</v>
      </c>
      <c r="G327" s="6" t="s">
        <v>16</v>
      </c>
      <c r="H327" s="5">
        <v>1</v>
      </c>
      <c r="I327" s="6" t="s">
        <v>878</v>
      </c>
      <c r="J327" s="5">
        <v>573</v>
      </c>
    </row>
    <row r="328" s="2" customFormat="1" spans="1:10">
      <c r="A328" s="6">
        <f>326</f>
        <v>326</v>
      </c>
      <c r="B328" s="6" t="s">
        <v>879</v>
      </c>
      <c r="C328" s="6" t="s">
        <v>12</v>
      </c>
      <c r="D328" s="6" t="s">
        <v>13</v>
      </c>
      <c r="E328" s="6" t="s">
        <v>875</v>
      </c>
      <c r="F328" s="6" t="s">
        <v>880</v>
      </c>
      <c r="G328" s="6" t="s">
        <v>16</v>
      </c>
      <c r="H328" s="5">
        <v>1</v>
      </c>
      <c r="I328" s="6" t="s">
        <v>880</v>
      </c>
      <c r="J328" s="5">
        <v>573</v>
      </c>
    </row>
    <row r="329" s="2" customFormat="1" spans="1:10">
      <c r="A329" s="6">
        <f>327</f>
        <v>327</v>
      </c>
      <c r="B329" s="6" t="s">
        <v>881</v>
      </c>
      <c r="C329" s="6" t="s">
        <v>12</v>
      </c>
      <c r="D329" s="6" t="s">
        <v>13</v>
      </c>
      <c r="E329" s="6" t="s">
        <v>875</v>
      </c>
      <c r="F329" s="6" t="s">
        <v>882</v>
      </c>
      <c r="G329" s="6" t="s">
        <v>16</v>
      </c>
      <c r="H329" s="5">
        <v>1</v>
      </c>
      <c r="I329" s="6" t="s">
        <v>882</v>
      </c>
      <c r="J329" s="5">
        <v>620</v>
      </c>
    </row>
    <row r="330" s="2" customFormat="1" ht="27" spans="1:10">
      <c r="A330" s="6">
        <f>328</f>
        <v>328</v>
      </c>
      <c r="B330" s="6" t="s">
        <v>883</v>
      </c>
      <c r="C330" s="6" t="s">
        <v>12</v>
      </c>
      <c r="D330" s="6" t="s">
        <v>13</v>
      </c>
      <c r="E330" s="6" t="s">
        <v>875</v>
      </c>
      <c r="F330" s="6" t="s">
        <v>884</v>
      </c>
      <c r="G330" s="6" t="s">
        <v>16</v>
      </c>
      <c r="H330" s="5">
        <v>4</v>
      </c>
      <c r="I330" s="6" t="s">
        <v>885</v>
      </c>
      <c r="J330" s="5">
        <v>940</v>
      </c>
    </row>
    <row r="331" s="2" customFormat="1" spans="1:10">
      <c r="A331" s="6">
        <f>329</f>
        <v>329</v>
      </c>
      <c r="B331" s="6" t="s">
        <v>886</v>
      </c>
      <c r="C331" s="6" t="s">
        <v>12</v>
      </c>
      <c r="D331" s="6" t="s">
        <v>13</v>
      </c>
      <c r="E331" s="6" t="s">
        <v>875</v>
      </c>
      <c r="F331" s="6" t="s">
        <v>887</v>
      </c>
      <c r="G331" s="6" t="s">
        <v>16</v>
      </c>
      <c r="H331" s="5">
        <v>3</v>
      </c>
      <c r="I331" s="6" t="s">
        <v>888</v>
      </c>
      <c r="J331" s="5">
        <v>440</v>
      </c>
    </row>
    <row r="332" s="2" customFormat="1" spans="1:10">
      <c r="A332" s="6">
        <f>330</f>
        <v>330</v>
      </c>
      <c r="B332" s="6" t="s">
        <v>889</v>
      </c>
      <c r="C332" s="6" t="s">
        <v>12</v>
      </c>
      <c r="D332" s="6" t="s">
        <v>13</v>
      </c>
      <c r="E332" s="6" t="s">
        <v>875</v>
      </c>
      <c r="F332" s="6" t="s">
        <v>890</v>
      </c>
      <c r="G332" s="6" t="s">
        <v>16</v>
      </c>
      <c r="H332" s="5">
        <v>1</v>
      </c>
      <c r="I332" s="6" t="s">
        <v>890</v>
      </c>
      <c r="J332" s="5">
        <v>573</v>
      </c>
    </row>
    <row r="333" s="2" customFormat="1" ht="27" spans="1:10">
      <c r="A333" s="6">
        <f>331</f>
        <v>331</v>
      </c>
      <c r="B333" s="6" t="s">
        <v>891</v>
      </c>
      <c r="C333" s="6" t="s">
        <v>12</v>
      </c>
      <c r="D333" s="6" t="s">
        <v>13</v>
      </c>
      <c r="E333" s="6" t="s">
        <v>875</v>
      </c>
      <c r="F333" s="6" t="s">
        <v>892</v>
      </c>
      <c r="G333" s="6" t="s">
        <v>16</v>
      </c>
      <c r="H333" s="5">
        <v>5</v>
      </c>
      <c r="I333" s="6" t="s">
        <v>893</v>
      </c>
      <c r="J333" s="5">
        <v>1800</v>
      </c>
    </row>
    <row r="334" s="2" customFormat="1" spans="1:10">
      <c r="A334" s="6">
        <f>332</f>
        <v>332</v>
      </c>
      <c r="B334" s="6" t="s">
        <v>894</v>
      </c>
      <c r="C334" s="6" t="s">
        <v>12</v>
      </c>
      <c r="D334" s="6" t="s">
        <v>13</v>
      </c>
      <c r="E334" s="6" t="s">
        <v>875</v>
      </c>
      <c r="F334" s="6" t="s">
        <v>895</v>
      </c>
      <c r="G334" s="6" t="s">
        <v>16</v>
      </c>
      <c r="H334" s="5">
        <v>3</v>
      </c>
      <c r="I334" s="6" t="s">
        <v>896</v>
      </c>
      <c r="J334" s="5">
        <v>1130</v>
      </c>
    </row>
    <row r="335" s="2" customFormat="1" ht="27" spans="1:10">
      <c r="A335" s="6">
        <f>333</f>
        <v>333</v>
      </c>
      <c r="B335" s="6" t="s">
        <v>897</v>
      </c>
      <c r="C335" s="6" t="s">
        <v>12</v>
      </c>
      <c r="D335" s="6" t="s">
        <v>13</v>
      </c>
      <c r="E335" s="6" t="s">
        <v>875</v>
      </c>
      <c r="F335" s="6" t="s">
        <v>898</v>
      </c>
      <c r="G335" s="6" t="s">
        <v>16</v>
      </c>
      <c r="H335" s="5">
        <v>6</v>
      </c>
      <c r="I335" s="6" t="s">
        <v>899</v>
      </c>
      <c r="J335" s="5">
        <v>1800</v>
      </c>
    </row>
    <row r="336" s="2" customFormat="1" spans="1:10">
      <c r="A336" s="6">
        <f>334</f>
        <v>334</v>
      </c>
      <c r="B336" s="6" t="s">
        <v>900</v>
      </c>
      <c r="C336" s="6" t="s">
        <v>12</v>
      </c>
      <c r="D336" s="6" t="s">
        <v>13</v>
      </c>
      <c r="E336" s="6" t="s">
        <v>875</v>
      </c>
      <c r="F336" s="6" t="s">
        <v>901</v>
      </c>
      <c r="G336" s="6" t="s">
        <v>16</v>
      </c>
      <c r="H336" s="5">
        <v>2</v>
      </c>
      <c r="I336" s="6" t="s">
        <v>902</v>
      </c>
      <c r="J336" s="5">
        <v>480</v>
      </c>
    </row>
    <row r="337" s="2" customFormat="1" spans="1:10">
      <c r="A337" s="6">
        <f>335</f>
        <v>335</v>
      </c>
      <c r="B337" s="6" t="s">
        <v>903</v>
      </c>
      <c r="C337" s="6" t="s">
        <v>12</v>
      </c>
      <c r="D337" s="6" t="s">
        <v>13</v>
      </c>
      <c r="E337" s="6" t="s">
        <v>875</v>
      </c>
      <c r="F337" s="6" t="s">
        <v>904</v>
      </c>
      <c r="G337" s="6" t="s">
        <v>16</v>
      </c>
      <c r="H337" s="5">
        <v>2</v>
      </c>
      <c r="I337" s="6" t="s">
        <v>905</v>
      </c>
      <c r="J337" s="5">
        <v>700</v>
      </c>
    </row>
    <row r="338" s="2" customFormat="1" spans="1:10">
      <c r="A338" s="6">
        <f>336</f>
        <v>336</v>
      </c>
      <c r="B338" s="6" t="s">
        <v>906</v>
      </c>
      <c r="C338" s="6" t="s">
        <v>12</v>
      </c>
      <c r="D338" s="6" t="s">
        <v>13</v>
      </c>
      <c r="E338" s="6" t="s">
        <v>875</v>
      </c>
      <c r="F338" s="6" t="s">
        <v>907</v>
      </c>
      <c r="G338" s="6" t="s">
        <v>16</v>
      </c>
      <c r="H338" s="5">
        <v>2</v>
      </c>
      <c r="I338" s="6" t="s">
        <v>908</v>
      </c>
      <c r="J338" s="5">
        <v>660</v>
      </c>
    </row>
    <row r="339" s="2" customFormat="1" spans="1:10">
      <c r="A339" s="6">
        <f>337</f>
        <v>337</v>
      </c>
      <c r="B339" s="6" t="s">
        <v>909</v>
      </c>
      <c r="C339" s="6" t="s">
        <v>12</v>
      </c>
      <c r="D339" s="6" t="s">
        <v>13</v>
      </c>
      <c r="E339" s="6" t="s">
        <v>875</v>
      </c>
      <c r="F339" s="6" t="s">
        <v>910</v>
      </c>
      <c r="G339" s="6" t="s">
        <v>16</v>
      </c>
      <c r="H339" s="5">
        <v>2</v>
      </c>
      <c r="I339" s="6" t="s">
        <v>911</v>
      </c>
      <c r="J339" s="5">
        <v>980</v>
      </c>
    </row>
    <row r="340" s="2" customFormat="1" ht="27" spans="1:10">
      <c r="A340" s="6">
        <f>338</f>
        <v>338</v>
      </c>
      <c r="B340" s="6" t="s">
        <v>912</v>
      </c>
      <c r="C340" s="6" t="s">
        <v>12</v>
      </c>
      <c r="D340" s="6" t="s">
        <v>13</v>
      </c>
      <c r="E340" s="6" t="s">
        <v>875</v>
      </c>
      <c r="F340" s="6" t="s">
        <v>913</v>
      </c>
      <c r="G340" s="6" t="s">
        <v>16</v>
      </c>
      <c r="H340" s="5">
        <v>4</v>
      </c>
      <c r="I340" s="6" t="s">
        <v>914</v>
      </c>
      <c r="J340" s="5">
        <v>860</v>
      </c>
    </row>
    <row r="341" s="2" customFormat="1" ht="27" spans="1:10">
      <c r="A341" s="6">
        <f>339</f>
        <v>339</v>
      </c>
      <c r="B341" s="6" t="s">
        <v>915</v>
      </c>
      <c r="C341" s="6" t="s">
        <v>12</v>
      </c>
      <c r="D341" s="6" t="s">
        <v>13</v>
      </c>
      <c r="E341" s="6" t="s">
        <v>875</v>
      </c>
      <c r="F341" s="6" t="s">
        <v>916</v>
      </c>
      <c r="G341" s="6" t="s">
        <v>16</v>
      </c>
      <c r="H341" s="5">
        <v>6</v>
      </c>
      <c r="I341" s="6" t="s">
        <v>917</v>
      </c>
      <c r="J341" s="5">
        <v>760</v>
      </c>
    </row>
    <row r="342" s="2" customFormat="1" spans="1:10">
      <c r="A342" s="6">
        <f>340</f>
        <v>340</v>
      </c>
      <c r="B342" s="6" t="s">
        <v>918</v>
      </c>
      <c r="C342" s="6" t="s">
        <v>12</v>
      </c>
      <c r="D342" s="6" t="s">
        <v>13</v>
      </c>
      <c r="E342" s="6" t="s">
        <v>875</v>
      </c>
      <c r="F342" s="6" t="s">
        <v>919</v>
      </c>
      <c r="G342" s="6" t="s">
        <v>16</v>
      </c>
      <c r="H342" s="5">
        <v>3</v>
      </c>
      <c r="I342" s="6" t="s">
        <v>920</v>
      </c>
      <c r="J342" s="5">
        <v>920</v>
      </c>
    </row>
    <row r="343" s="2" customFormat="1" spans="1:10">
      <c r="A343" s="6">
        <f>341</f>
        <v>341</v>
      </c>
      <c r="B343" s="6" t="s">
        <v>921</v>
      </c>
      <c r="C343" s="6" t="s">
        <v>12</v>
      </c>
      <c r="D343" s="6" t="s">
        <v>13</v>
      </c>
      <c r="E343" s="6" t="s">
        <v>875</v>
      </c>
      <c r="F343" s="6" t="s">
        <v>922</v>
      </c>
      <c r="G343" s="6" t="s">
        <v>16</v>
      </c>
      <c r="H343" s="5">
        <v>2</v>
      </c>
      <c r="I343" s="6" t="s">
        <v>923</v>
      </c>
      <c r="J343" s="5">
        <v>720</v>
      </c>
    </row>
    <row r="344" s="2" customFormat="1" spans="1:10">
      <c r="A344" s="6">
        <f>342</f>
        <v>342</v>
      </c>
      <c r="B344" s="6" t="s">
        <v>924</v>
      </c>
      <c r="C344" s="6" t="s">
        <v>12</v>
      </c>
      <c r="D344" s="6" t="s">
        <v>13</v>
      </c>
      <c r="E344" s="6" t="s">
        <v>875</v>
      </c>
      <c r="F344" s="6" t="s">
        <v>925</v>
      </c>
      <c r="G344" s="6" t="s">
        <v>16</v>
      </c>
      <c r="H344" s="5">
        <v>1</v>
      </c>
      <c r="I344" s="6" t="s">
        <v>925</v>
      </c>
      <c r="J344" s="5">
        <v>573</v>
      </c>
    </row>
    <row r="345" s="2" customFormat="1" ht="27" spans="1:10">
      <c r="A345" s="6">
        <f>343</f>
        <v>343</v>
      </c>
      <c r="B345" s="6" t="s">
        <v>926</v>
      </c>
      <c r="C345" s="6" t="s">
        <v>12</v>
      </c>
      <c r="D345" s="6" t="s">
        <v>13</v>
      </c>
      <c r="E345" s="6" t="s">
        <v>875</v>
      </c>
      <c r="F345" s="6" t="s">
        <v>927</v>
      </c>
      <c r="G345" s="6" t="s">
        <v>16</v>
      </c>
      <c r="H345" s="5">
        <v>4</v>
      </c>
      <c r="I345" s="6" t="s">
        <v>928</v>
      </c>
      <c r="J345" s="5">
        <v>890</v>
      </c>
    </row>
    <row r="346" s="2" customFormat="1" spans="1:10">
      <c r="A346" s="6">
        <f>344</f>
        <v>344</v>
      </c>
      <c r="B346" s="6" t="s">
        <v>929</v>
      </c>
      <c r="C346" s="6" t="s">
        <v>12</v>
      </c>
      <c r="D346" s="6" t="s">
        <v>13</v>
      </c>
      <c r="E346" s="6" t="s">
        <v>875</v>
      </c>
      <c r="F346" s="6" t="s">
        <v>930</v>
      </c>
      <c r="G346" s="6" t="s">
        <v>16</v>
      </c>
      <c r="H346" s="5">
        <v>1</v>
      </c>
      <c r="I346" s="6" t="s">
        <v>930</v>
      </c>
      <c r="J346" s="5">
        <v>573</v>
      </c>
    </row>
    <row r="347" s="2" customFormat="1" ht="27" spans="1:10">
      <c r="A347" s="6">
        <f>345</f>
        <v>345</v>
      </c>
      <c r="B347" s="6" t="s">
        <v>931</v>
      </c>
      <c r="C347" s="6" t="s">
        <v>12</v>
      </c>
      <c r="D347" s="6" t="s">
        <v>13</v>
      </c>
      <c r="E347" s="6" t="s">
        <v>875</v>
      </c>
      <c r="F347" s="6" t="s">
        <v>932</v>
      </c>
      <c r="G347" s="6" t="s">
        <v>16</v>
      </c>
      <c r="H347" s="5">
        <v>4</v>
      </c>
      <c r="I347" s="6" t="s">
        <v>933</v>
      </c>
      <c r="J347" s="5">
        <v>1190</v>
      </c>
    </row>
    <row r="348" s="2" customFormat="1" ht="27" spans="1:10">
      <c r="A348" s="6">
        <f>346</f>
        <v>346</v>
      </c>
      <c r="B348" s="6" t="s">
        <v>934</v>
      </c>
      <c r="C348" s="6" t="s">
        <v>12</v>
      </c>
      <c r="D348" s="6" t="s">
        <v>13</v>
      </c>
      <c r="E348" s="6" t="s">
        <v>875</v>
      </c>
      <c r="F348" s="6" t="s">
        <v>935</v>
      </c>
      <c r="G348" s="6" t="s">
        <v>16</v>
      </c>
      <c r="H348" s="5">
        <v>4</v>
      </c>
      <c r="I348" s="6" t="s">
        <v>936</v>
      </c>
      <c r="J348" s="5">
        <v>810</v>
      </c>
    </row>
    <row r="349" s="2" customFormat="1" spans="1:10">
      <c r="A349" s="6">
        <f>347</f>
        <v>347</v>
      </c>
      <c r="B349" s="6" t="s">
        <v>937</v>
      </c>
      <c r="C349" s="6" t="s">
        <v>12</v>
      </c>
      <c r="D349" s="6" t="s">
        <v>13</v>
      </c>
      <c r="E349" s="6" t="s">
        <v>875</v>
      </c>
      <c r="F349" s="6" t="s">
        <v>938</v>
      </c>
      <c r="G349" s="6" t="s">
        <v>16</v>
      </c>
      <c r="H349" s="5">
        <v>3</v>
      </c>
      <c r="I349" s="6" t="s">
        <v>939</v>
      </c>
      <c r="J349" s="5">
        <v>820</v>
      </c>
    </row>
    <row r="350" s="2" customFormat="1" ht="27" spans="1:10">
      <c r="A350" s="6">
        <f>348</f>
        <v>348</v>
      </c>
      <c r="B350" s="6" t="s">
        <v>940</v>
      </c>
      <c r="C350" s="6" t="s">
        <v>12</v>
      </c>
      <c r="D350" s="6" t="s">
        <v>13</v>
      </c>
      <c r="E350" s="6" t="s">
        <v>875</v>
      </c>
      <c r="F350" s="6" t="s">
        <v>941</v>
      </c>
      <c r="G350" s="6" t="s">
        <v>16</v>
      </c>
      <c r="H350" s="5">
        <v>5</v>
      </c>
      <c r="I350" s="6" t="s">
        <v>942</v>
      </c>
      <c r="J350" s="5">
        <v>2450</v>
      </c>
    </row>
    <row r="351" s="2" customFormat="1" spans="1:10">
      <c r="A351" s="6">
        <f>349</f>
        <v>349</v>
      </c>
      <c r="B351" s="6" t="s">
        <v>943</v>
      </c>
      <c r="C351" s="6" t="s">
        <v>12</v>
      </c>
      <c r="D351" s="6" t="s">
        <v>13</v>
      </c>
      <c r="E351" s="6" t="s">
        <v>875</v>
      </c>
      <c r="F351" s="6" t="s">
        <v>944</v>
      </c>
      <c r="G351" s="6" t="s">
        <v>16</v>
      </c>
      <c r="H351" s="5">
        <v>3</v>
      </c>
      <c r="I351" s="6" t="s">
        <v>945</v>
      </c>
      <c r="J351" s="5">
        <v>1020</v>
      </c>
    </row>
    <row r="352" s="2" customFormat="1" spans="1:10">
      <c r="A352" s="6">
        <f>350</f>
        <v>350</v>
      </c>
      <c r="B352" s="6" t="s">
        <v>946</v>
      </c>
      <c r="C352" s="6" t="s">
        <v>12</v>
      </c>
      <c r="D352" s="6" t="s">
        <v>13</v>
      </c>
      <c r="E352" s="6" t="s">
        <v>875</v>
      </c>
      <c r="F352" s="6" t="s">
        <v>947</v>
      </c>
      <c r="G352" s="6" t="s">
        <v>16</v>
      </c>
      <c r="H352" s="5">
        <v>1</v>
      </c>
      <c r="I352" s="6" t="s">
        <v>947</v>
      </c>
      <c r="J352" s="5">
        <v>543</v>
      </c>
    </row>
    <row r="353" s="2" customFormat="1" ht="27" spans="1:10">
      <c r="A353" s="6">
        <f>351</f>
        <v>351</v>
      </c>
      <c r="B353" s="6" t="s">
        <v>948</v>
      </c>
      <c r="C353" s="6" t="s">
        <v>12</v>
      </c>
      <c r="D353" s="6" t="s">
        <v>13</v>
      </c>
      <c r="E353" s="6" t="s">
        <v>875</v>
      </c>
      <c r="F353" s="6" t="s">
        <v>949</v>
      </c>
      <c r="G353" s="6" t="s">
        <v>16</v>
      </c>
      <c r="H353" s="5">
        <v>4</v>
      </c>
      <c r="I353" s="6" t="s">
        <v>950</v>
      </c>
      <c r="J353" s="5">
        <v>690</v>
      </c>
    </row>
    <row r="354" s="2" customFormat="1" ht="27" spans="1:10">
      <c r="A354" s="6">
        <f>352</f>
        <v>352</v>
      </c>
      <c r="B354" s="6" t="s">
        <v>951</v>
      </c>
      <c r="C354" s="6" t="s">
        <v>12</v>
      </c>
      <c r="D354" s="6" t="s">
        <v>13</v>
      </c>
      <c r="E354" s="6" t="s">
        <v>875</v>
      </c>
      <c r="F354" s="6" t="s">
        <v>952</v>
      </c>
      <c r="G354" s="6" t="s">
        <v>16</v>
      </c>
      <c r="H354" s="5">
        <v>4</v>
      </c>
      <c r="I354" s="6" t="s">
        <v>953</v>
      </c>
      <c r="J354" s="5">
        <v>940</v>
      </c>
    </row>
    <row r="355" s="2" customFormat="1" spans="1:10">
      <c r="A355" s="6">
        <f>353</f>
        <v>353</v>
      </c>
      <c r="B355" s="6" t="s">
        <v>954</v>
      </c>
      <c r="C355" s="6" t="s">
        <v>12</v>
      </c>
      <c r="D355" s="6" t="s">
        <v>13</v>
      </c>
      <c r="E355" s="6" t="s">
        <v>875</v>
      </c>
      <c r="F355" s="6" t="s">
        <v>955</v>
      </c>
      <c r="G355" s="6" t="s">
        <v>16</v>
      </c>
      <c r="H355" s="5">
        <v>3</v>
      </c>
      <c r="I355" s="6" t="s">
        <v>956</v>
      </c>
      <c r="J355" s="5">
        <v>580</v>
      </c>
    </row>
    <row r="356" s="2" customFormat="1" spans="1:10">
      <c r="A356" s="6">
        <f>354</f>
        <v>354</v>
      </c>
      <c r="B356" s="6" t="s">
        <v>957</v>
      </c>
      <c r="C356" s="6" t="s">
        <v>12</v>
      </c>
      <c r="D356" s="6" t="s">
        <v>13</v>
      </c>
      <c r="E356" s="6" t="s">
        <v>875</v>
      </c>
      <c r="F356" s="6" t="s">
        <v>958</v>
      </c>
      <c r="G356" s="6" t="s">
        <v>16</v>
      </c>
      <c r="H356" s="5">
        <v>1</v>
      </c>
      <c r="I356" s="6" t="s">
        <v>958</v>
      </c>
      <c r="J356" s="5">
        <v>573</v>
      </c>
    </row>
    <row r="357" s="2" customFormat="1" spans="1:10">
      <c r="A357" s="6">
        <f>355</f>
        <v>355</v>
      </c>
      <c r="B357" s="6" t="s">
        <v>959</v>
      </c>
      <c r="C357" s="6" t="s">
        <v>12</v>
      </c>
      <c r="D357" s="6" t="s">
        <v>13</v>
      </c>
      <c r="E357" s="6" t="s">
        <v>875</v>
      </c>
      <c r="F357" s="6" t="s">
        <v>960</v>
      </c>
      <c r="G357" s="6" t="s">
        <v>16</v>
      </c>
      <c r="H357" s="5">
        <v>1</v>
      </c>
      <c r="I357" s="6" t="s">
        <v>960</v>
      </c>
      <c r="J357" s="5">
        <v>573</v>
      </c>
    </row>
    <row r="358" s="2" customFormat="1" spans="1:10">
      <c r="A358" s="6">
        <f>356</f>
        <v>356</v>
      </c>
      <c r="B358" s="6" t="s">
        <v>961</v>
      </c>
      <c r="C358" s="6" t="s">
        <v>12</v>
      </c>
      <c r="D358" s="6" t="s">
        <v>13</v>
      </c>
      <c r="E358" s="6" t="s">
        <v>875</v>
      </c>
      <c r="F358" s="6" t="s">
        <v>962</v>
      </c>
      <c r="G358" s="6" t="s">
        <v>16</v>
      </c>
      <c r="H358" s="5">
        <v>2</v>
      </c>
      <c r="I358" s="6" t="s">
        <v>963</v>
      </c>
      <c r="J358" s="5">
        <v>500</v>
      </c>
    </row>
    <row r="359" s="2" customFormat="1" spans="1:10">
      <c r="A359" s="6">
        <f>357</f>
        <v>357</v>
      </c>
      <c r="B359" s="6" t="s">
        <v>964</v>
      </c>
      <c r="C359" s="6" t="s">
        <v>12</v>
      </c>
      <c r="D359" s="6" t="s">
        <v>13</v>
      </c>
      <c r="E359" s="6" t="s">
        <v>875</v>
      </c>
      <c r="F359" s="6" t="s">
        <v>965</v>
      </c>
      <c r="G359" s="6" t="s">
        <v>16</v>
      </c>
      <c r="H359" s="5">
        <v>2</v>
      </c>
      <c r="I359" s="6" t="s">
        <v>966</v>
      </c>
      <c r="J359" s="5">
        <v>480</v>
      </c>
    </row>
    <row r="360" s="2" customFormat="1" spans="1:10">
      <c r="A360" s="6">
        <f>358</f>
        <v>358</v>
      </c>
      <c r="B360" s="6" t="s">
        <v>967</v>
      </c>
      <c r="C360" s="6" t="s">
        <v>12</v>
      </c>
      <c r="D360" s="6" t="s">
        <v>13</v>
      </c>
      <c r="E360" s="6" t="s">
        <v>875</v>
      </c>
      <c r="F360" s="6" t="s">
        <v>968</v>
      </c>
      <c r="G360" s="6" t="s">
        <v>16</v>
      </c>
      <c r="H360" s="5">
        <v>1</v>
      </c>
      <c r="I360" s="6" t="s">
        <v>968</v>
      </c>
      <c r="J360" s="5">
        <v>573</v>
      </c>
    </row>
    <row r="361" s="2" customFormat="1" spans="1:10">
      <c r="A361" s="6">
        <f>359</f>
        <v>359</v>
      </c>
      <c r="B361" s="6" t="s">
        <v>969</v>
      </c>
      <c r="C361" s="6" t="s">
        <v>12</v>
      </c>
      <c r="D361" s="6" t="s">
        <v>13</v>
      </c>
      <c r="E361" s="6" t="s">
        <v>875</v>
      </c>
      <c r="F361" s="6" t="s">
        <v>970</v>
      </c>
      <c r="G361" s="6" t="s">
        <v>16</v>
      </c>
      <c r="H361" s="5">
        <v>2</v>
      </c>
      <c r="I361" s="6" t="s">
        <v>971</v>
      </c>
      <c r="J361" s="5">
        <v>720</v>
      </c>
    </row>
    <row r="362" s="2" customFormat="1" spans="1:10">
      <c r="A362" s="6">
        <f>360</f>
        <v>360</v>
      </c>
      <c r="B362" s="6" t="s">
        <v>972</v>
      </c>
      <c r="C362" s="6" t="s">
        <v>12</v>
      </c>
      <c r="D362" s="6" t="s">
        <v>13</v>
      </c>
      <c r="E362" s="6" t="s">
        <v>875</v>
      </c>
      <c r="F362" s="6" t="s">
        <v>973</v>
      </c>
      <c r="G362" s="6" t="s">
        <v>16</v>
      </c>
      <c r="H362" s="5">
        <v>1</v>
      </c>
      <c r="I362" s="6" t="s">
        <v>973</v>
      </c>
      <c r="J362" s="5">
        <v>360</v>
      </c>
    </row>
    <row r="363" s="2" customFormat="1" spans="1:10">
      <c r="A363" s="6">
        <f>361</f>
        <v>361</v>
      </c>
      <c r="B363" s="6" t="s">
        <v>974</v>
      </c>
      <c r="C363" s="6" t="s">
        <v>12</v>
      </c>
      <c r="D363" s="6" t="s">
        <v>13</v>
      </c>
      <c r="E363" s="6" t="s">
        <v>875</v>
      </c>
      <c r="F363" s="6" t="s">
        <v>975</v>
      </c>
      <c r="G363" s="6" t="s">
        <v>16</v>
      </c>
      <c r="H363" s="5">
        <v>2</v>
      </c>
      <c r="I363" s="6" t="s">
        <v>976</v>
      </c>
      <c r="J363" s="5">
        <v>820</v>
      </c>
    </row>
    <row r="364" s="2" customFormat="1" ht="27" spans="1:10">
      <c r="A364" s="6">
        <f>362</f>
        <v>362</v>
      </c>
      <c r="B364" s="6" t="s">
        <v>977</v>
      </c>
      <c r="C364" s="6" t="s">
        <v>12</v>
      </c>
      <c r="D364" s="6" t="s">
        <v>13</v>
      </c>
      <c r="E364" s="6" t="s">
        <v>875</v>
      </c>
      <c r="F364" s="6" t="s">
        <v>978</v>
      </c>
      <c r="G364" s="6" t="s">
        <v>16</v>
      </c>
      <c r="H364" s="5">
        <v>6</v>
      </c>
      <c r="I364" s="6" t="s">
        <v>979</v>
      </c>
      <c r="J364" s="5">
        <v>660</v>
      </c>
    </row>
    <row r="365" s="2" customFormat="1" spans="1:10">
      <c r="A365" s="6">
        <f>363</f>
        <v>363</v>
      </c>
      <c r="B365" s="6" t="s">
        <v>980</v>
      </c>
      <c r="C365" s="6" t="s">
        <v>12</v>
      </c>
      <c r="D365" s="6" t="s">
        <v>13</v>
      </c>
      <c r="E365" s="6" t="s">
        <v>875</v>
      </c>
      <c r="F365" s="6" t="s">
        <v>981</v>
      </c>
      <c r="G365" s="6" t="s">
        <v>16</v>
      </c>
      <c r="H365" s="5">
        <v>3</v>
      </c>
      <c r="I365" s="6" t="s">
        <v>982</v>
      </c>
      <c r="J365" s="5">
        <v>1180</v>
      </c>
    </row>
    <row r="366" s="2" customFormat="1" spans="1:10">
      <c r="A366" s="6">
        <f>364</f>
        <v>364</v>
      </c>
      <c r="B366" s="6" t="s">
        <v>983</v>
      </c>
      <c r="C366" s="6" t="s">
        <v>12</v>
      </c>
      <c r="D366" s="6" t="s">
        <v>13</v>
      </c>
      <c r="E366" s="6" t="s">
        <v>984</v>
      </c>
      <c r="F366" s="6" t="s">
        <v>985</v>
      </c>
      <c r="G366" s="6" t="s">
        <v>16</v>
      </c>
      <c r="H366" s="5">
        <v>3</v>
      </c>
      <c r="I366" s="6" t="s">
        <v>986</v>
      </c>
      <c r="J366" s="5">
        <v>780</v>
      </c>
    </row>
    <row r="367" s="2" customFormat="1" ht="27" spans="1:10">
      <c r="A367" s="6">
        <f>365</f>
        <v>365</v>
      </c>
      <c r="B367" s="6" t="s">
        <v>987</v>
      </c>
      <c r="C367" s="6" t="s">
        <v>12</v>
      </c>
      <c r="D367" s="6" t="s">
        <v>13</v>
      </c>
      <c r="E367" s="6" t="s">
        <v>984</v>
      </c>
      <c r="F367" s="6" t="s">
        <v>988</v>
      </c>
      <c r="G367" s="6" t="s">
        <v>16</v>
      </c>
      <c r="H367" s="5">
        <v>4</v>
      </c>
      <c r="I367" s="6" t="s">
        <v>989</v>
      </c>
      <c r="J367" s="5">
        <v>1140</v>
      </c>
    </row>
    <row r="368" s="2" customFormat="1" ht="27" spans="1:10">
      <c r="A368" s="6">
        <f>366</f>
        <v>366</v>
      </c>
      <c r="B368" s="6" t="s">
        <v>990</v>
      </c>
      <c r="C368" s="6" t="s">
        <v>12</v>
      </c>
      <c r="D368" s="6" t="s">
        <v>13</v>
      </c>
      <c r="E368" s="6" t="s">
        <v>984</v>
      </c>
      <c r="F368" s="6" t="s">
        <v>991</v>
      </c>
      <c r="G368" s="6" t="s">
        <v>16</v>
      </c>
      <c r="H368" s="5">
        <v>4</v>
      </c>
      <c r="I368" s="6" t="s">
        <v>992</v>
      </c>
      <c r="J368" s="5">
        <v>920</v>
      </c>
    </row>
    <row r="369" s="2" customFormat="1" ht="27" spans="1:10">
      <c r="A369" s="6">
        <f>367</f>
        <v>367</v>
      </c>
      <c r="B369" s="6" t="s">
        <v>993</v>
      </c>
      <c r="C369" s="6" t="s">
        <v>12</v>
      </c>
      <c r="D369" s="6" t="s">
        <v>13</v>
      </c>
      <c r="E369" s="6" t="s">
        <v>984</v>
      </c>
      <c r="F369" s="6" t="s">
        <v>994</v>
      </c>
      <c r="G369" s="6" t="s">
        <v>16</v>
      </c>
      <c r="H369" s="5">
        <v>5</v>
      </c>
      <c r="I369" s="6" t="s">
        <v>995</v>
      </c>
      <c r="J369" s="5">
        <v>1250</v>
      </c>
    </row>
    <row r="370" s="2" customFormat="1" ht="27" spans="1:10">
      <c r="A370" s="6">
        <f>368</f>
        <v>368</v>
      </c>
      <c r="B370" s="6" t="s">
        <v>996</v>
      </c>
      <c r="C370" s="6" t="s">
        <v>12</v>
      </c>
      <c r="D370" s="6" t="s">
        <v>13</v>
      </c>
      <c r="E370" s="6" t="s">
        <v>984</v>
      </c>
      <c r="F370" s="6" t="s">
        <v>997</v>
      </c>
      <c r="G370" s="6" t="s">
        <v>16</v>
      </c>
      <c r="H370" s="5">
        <v>5</v>
      </c>
      <c r="I370" s="6" t="s">
        <v>998</v>
      </c>
      <c r="J370" s="5">
        <v>1150</v>
      </c>
    </row>
    <row r="371" s="2" customFormat="1" spans="1:10">
      <c r="A371" s="6">
        <f>369</f>
        <v>369</v>
      </c>
      <c r="B371" s="6" t="s">
        <v>999</v>
      </c>
      <c r="C371" s="6" t="s">
        <v>12</v>
      </c>
      <c r="D371" s="6" t="s">
        <v>13</v>
      </c>
      <c r="E371" s="6" t="s">
        <v>984</v>
      </c>
      <c r="F371" s="6" t="s">
        <v>1000</v>
      </c>
      <c r="G371" s="6" t="s">
        <v>16</v>
      </c>
      <c r="H371" s="5">
        <v>2</v>
      </c>
      <c r="I371" s="6" t="s">
        <v>1001</v>
      </c>
      <c r="J371" s="5">
        <v>760</v>
      </c>
    </row>
    <row r="372" s="2" customFormat="1" spans="1:10">
      <c r="A372" s="6">
        <f>370</f>
        <v>370</v>
      </c>
      <c r="B372" s="6" t="s">
        <v>1002</v>
      </c>
      <c r="C372" s="6" t="s">
        <v>12</v>
      </c>
      <c r="D372" s="6" t="s">
        <v>13</v>
      </c>
      <c r="E372" s="6" t="s">
        <v>984</v>
      </c>
      <c r="F372" s="6" t="s">
        <v>1003</v>
      </c>
      <c r="G372" s="6" t="s">
        <v>16</v>
      </c>
      <c r="H372" s="5">
        <v>1</v>
      </c>
      <c r="I372" s="6" t="s">
        <v>1003</v>
      </c>
      <c r="J372" s="5">
        <v>573</v>
      </c>
    </row>
    <row r="373" s="2" customFormat="1" spans="1:10">
      <c r="A373" s="6">
        <f>371</f>
        <v>371</v>
      </c>
      <c r="B373" s="6" t="s">
        <v>1004</v>
      </c>
      <c r="C373" s="6" t="s">
        <v>12</v>
      </c>
      <c r="D373" s="6" t="s">
        <v>13</v>
      </c>
      <c r="E373" s="6" t="s">
        <v>984</v>
      </c>
      <c r="F373" s="6" t="s">
        <v>1005</v>
      </c>
      <c r="G373" s="6" t="s">
        <v>16</v>
      </c>
      <c r="H373" s="5">
        <v>2</v>
      </c>
      <c r="I373" s="6" t="s">
        <v>1006</v>
      </c>
      <c r="J373" s="5">
        <v>770</v>
      </c>
    </row>
    <row r="374" s="2" customFormat="1" ht="27" spans="1:10">
      <c r="A374" s="6">
        <f>372</f>
        <v>372</v>
      </c>
      <c r="B374" s="6" t="s">
        <v>1007</v>
      </c>
      <c r="C374" s="6" t="s">
        <v>12</v>
      </c>
      <c r="D374" s="6" t="s">
        <v>13</v>
      </c>
      <c r="E374" s="6" t="s">
        <v>984</v>
      </c>
      <c r="F374" s="6" t="s">
        <v>1008</v>
      </c>
      <c r="G374" s="6" t="s">
        <v>16</v>
      </c>
      <c r="H374" s="5">
        <v>4</v>
      </c>
      <c r="I374" s="6" t="s">
        <v>1009</v>
      </c>
      <c r="J374" s="5">
        <v>1280</v>
      </c>
    </row>
    <row r="375" s="2" customFormat="1" spans="1:10">
      <c r="A375" s="6">
        <f>373</f>
        <v>373</v>
      </c>
      <c r="B375" s="6" t="s">
        <v>1010</v>
      </c>
      <c r="C375" s="6" t="s">
        <v>12</v>
      </c>
      <c r="D375" s="6" t="s">
        <v>13</v>
      </c>
      <c r="E375" s="6" t="s">
        <v>984</v>
      </c>
      <c r="F375" s="6" t="s">
        <v>1011</v>
      </c>
      <c r="G375" s="6" t="s">
        <v>16</v>
      </c>
      <c r="H375" s="5">
        <v>3</v>
      </c>
      <c r="I375" s="6" t="s">
        <v>1012</v>
      </c>
      <c r="J375" s="5">
        <v>1010</v>
      </c>
    </row>
    <row r="376" s="2" customFormat="1" spans="1:10">
      <c r="A376" s="6">
        <f>374</f>
        <v>374</v>
      </c>
      <c r="B376" s="6" t="s">
        <v>1013</v>
      </c>
      <c r="C376" s="6" t="s">
        <v>12</v>
      </c>
      <c r="D376" s="6" t="s">
        <v>13</v>
      </c>
      <c r="E376" s="6" t="s">
        <v>984</v>
      </c>
      <c r="F376" s="6" t="s">
        <v>1014</v>
      </c>
      <c r="G376" s="6" t="s">
        <v>16</v>
      </c>
      <c r="H376" s="5">
        <v>3</v>
      </c>
      <c r="I376" s="6" t="s">
        <v>1015</v>
      </c>
      <c r="J376" s="5">
        <v>1110</v>
      </c>
    </row>
    <row r="377" s="2" customFormat="1" spans="1:10">
      <c r="A377" s="6">
        <f>375</f>
        <v>375</v>
      </c>
      <c r="B377" s="6" t="s">
        <v>1016</v>
      </c>
      <c r="C377" s="6" t="s">
        <v>12</v>
      </c>
      <c r="D377" s="6" t="s">
        <v>13</v>
      </c>
      <c r="E377" s="6" t="s">
        <v>984</v>
      </c>
      <c r="F377" s="6" t="s">
        <v>1017</v>
      </c>
      <c r="G377" s="6" t="s">
        <v>16</v>
      </c>
      <c r="H377" s="5">
        <v>1</v>
      </c>
      <c r="I377" s="6" t="s">
        <v>1017</v>
      </c>
      <c r="J377" s="5">
        <v>573</v>
      </c>
    </row>
    <row r="378" s="2" customFormat="1" spans="1:10">
      <c r="A378" s="6">
        <f>376</f>
        <v>376</v>
      </c>
      <c r="B378" s="6" t="s">
        <v>1018</v>
      </c>
      <c r="C378" s="6" t="s">
        <v>12</v>
      </c>
      <c r="D378" s="6" t="s">
        <v>13</v>
      </c>
      <c r="E378" s="6" t="s">
        <v>984</v>
      </c>
      <c r="F378" s="6" t="s">
        <v>1019</v>
      </c>
      <c r="G378" s="6" t="s">
        <v>16</v>
      </c>
      <c r="H378" s="5">
        <v>1</v>
      </c>
      <c r="I378" s="6" t="s">
        <v>1019</v>
      </c>
      <c r="J378" s="5">
        <v>410</v>
      </c>
    </row>
    <row r="379" s="2" customFormat="1" spans="1:10">
      <c r="A379" s="6">
        <f>377</f>
        <v>377</v>
      </c>
      <c r="B379" s="6" t="s">
        <v>1020</v>
      </c>
      <c r="C379" s="6" t="s">
        <v>12</v>
      </c>
      <c r="D379" s="6" t="s">
        <v>13</v>
      </c>
      <c r="E379" s="6" t="s">
        <v>984</v>
      </c>
      <c r="F379" s="6" t="s">
        <v>1021</v>
      </c>
      <c r="G379" s="6" t="s">
        <v>16</v>
      </c>
      <c r="H379" s="5">
        <v>2</v>
      </c>
      <c r="I379" s="6" t="s">
        <v>1022</v>
      </c>
      <c r="J379" s="5">
        <v>940</v>
      </c>
    </row>
    <row r="380" s="2" customFormat="1" spans="1:10">
      <c r="A380" s="6">
        <f>378</f>
        <v>378</v>
      </c>
      <c r="B380" s="6" t="s">
        <v>1023</v>
      </c>
      <c r="C380" s="6" t="s">
        <v>12</v>
      </c>
      <c r="D380" s="6" t="s">
        <v>13</v>
      </c>
      <c r="E380" s="6" t="s">
        <v>1024</v>
      </c>
      <c r="F380" s="6" t="s">
        <v>1025</v>
      </c>
      <c r="G380" s="6" t="s">
        <v>16</v>
      </c>
      <c r="H380" s="5">
        <v>1</v>
      </c>
      <c r="I380" s="6" t="s">
        <v>1025</v>
      </c>
      <c r="J380" s="5">
        <v>533</v>
      </c>
    </row>
    <row r="381" s="2" customFormat="1" spans="1:10">
      <c r="A381" s="6">
        <f>379</f>
        <v>379</v>
      </c>
      <c r="B381" s="6" t="s">
        <v>1026</v>
      </c>
      <c r="C381" s="6" t="s">
        <v>12</v>
      </c>
      <c r="D381" s="6" t="s">
        <v>13</v>
      </c>
      <c r="E381" s="6" t="s">
        <v>1024</v>
      </c>
      <c r="F381" s="6" t="s">
        <v>1027</v>
      </c>
      <c r="G381" s="6" t="s">
        <v>16</v>
      </c>
      <c r="H381" s="5">
        <v>3</v>
      </c>
      <c r="I381" s="6" t="s">
        <v>1028</v>
      </c>
      <c r="J381" s="5">
        <v>580</v>
      </c>
    </row>
    <row r="382" s="2" customFormat="1" spans="1:10">
      <c r="A382" s="6">
        <f>380</f>
        <v>380</v>
      </c>
      <c r="B382" s="6" t="s">
        <v>1029</v>
      </c>
      <c r="C382" s="6" t="s">
        <v>12</v>
      </c>
      <c r="D382" s="6" t="s">
        <v>13</v>
      </c>
      <c r="E382" s="6" t="s">
        <v>1024</v>
      </c>
      <c r="F382" s="6" t="s">
        <v>1030</v>
      </c>
      <c r="G382" s="6" t="s">
        <v>16</v>
      </c>
      <c r="H382" s="5">
        <v>1</v>
      </c>
      <c r="I382" s="6" t="s">
        <v>1030</v>
      </c>
      <c r="J382" s="5">
        <v>300</v>
      </c>
    </row>
    <row r="383" s="2" customFormat="1" spans="1:10">
      <c r="A383" s="6">
        <f>381</f>
        <v>381</v>
      </c>
      <c r="B383" s="6" t="s">
        <v>1031</v>
      </c>
      <c r="C383" s="6" t="s">
        <v>12</v>
      </c>
      <c r="D383" s="6" t="s">
        <v>13</v>
      </c>
      <c r="E383" s="6" t="s">
        <v>1024</v>
      </c>
      <c r="F383" s="6" t="s">
        <v>1032</v>
      </c>
      <c r="G383" s="6" t="s">
        <v>16</v>
      </c>
      <c r="H383" s="5">
        <v>3</v>
      </c>
      <c r="I383" s="6" t="s">
        <v>1033</v>
      </c>
      <c r="J383" s="5">
        <v>870</v>
      </c>
    </row>
    <row r="384" s="2" customFormat="1" spans="1:10">
      <c r="A384" s="6">
        <f>382</f>
        <v>382</v>
      </c>
      <c r="B384" s="6" t="s">
        <v>1034</v>
      </c>
      <c r="C384" s="6" t="s">
        <v>12</v>
      </c>
      <c r="D384" s="6" t="s">
        <v>13</v>
      </c>
      <c r="E384" s="6" t="s">
        <v>1024</v>
      </c>
      <c r="F384" s="6" t="s">
        <v>1035</v>
      </c>
      <c r="G384" s="6" t="s">
        <v>16</v>
      </c>
      <c r="H384" s="5">
        <v>3</v>
      </c>
      <c r="I384" s="6" t="s">
        <v>1036</v>
      </c>
      <c r="J384" s="5">
        <v>970</v>
      </c>
    </row>
    <row r="385" s="2" customFormat="1" spans="1:10">
      <c r="A385" s="6">
        <f>383</f>
        <v>383</v>
      </c>
      <c r="B385" s="6" t="s">
        <v>1037</v>
      </c>
      <c r="C385" s="6" t="s">
        <v>12</v>
      </c>
      <c r="D385" s="6" t="s">
        <v>13</v>
      </c>
      <c r="E385" s="6" t="s">
        <v>1024</v>
      </c>
      <c r="F385" s="6" t="s">
        <v>1038</v>
      </c>
      <c r="G385" s="6" t="s">
        <v>16</v>
      </c>
      <c r="H385" s="5">
        <v>2</v>
      </c>
      <c r="I385" s="6" t="s">
        <v>1039</v>
      </c>
      <c r="J385" s="5">
        <v>720</v>
      </c>
    </row>
    <row r="386" s="2" customFormat="1" spans="1:10">
      <c r="A386" s="6">
        <f>384</f>
        <v>384</v>
      </c>
      <c r="B386" s="6" t="s">
        <v>1040</v>
      </c>
      <c r="C386" s="6" t="s">
        <v>12</v>
      </c>
      <c r="D386" s="6" t="s">
        <v>13</v>
      </c>
      <c r="E386" s="6" t="s">
        <v>1024</v>
      </c>
      <c r="F386" s="6" t="s">
        <v>1041</v>
      </c>
      <c r="G386" s="6" t="s">
        <v>16</v>
      </c>
      <c r="H386" s="5">
        <v>1</v>
      </c>
      <c r="I386" s="6" t="s">
        <v>1041</v>
      </c>
      <c r="J386" s="5">
        <v>460</v>
      </c>
    </row>
    <row r="387" s="2" customFormat="1" spans="1:10">
      <c r="A387" s="6">
        <f>385</f>
        <v>385</v>
      </c>
      <c r="B387" s="6" t="s">
        <v>1042</v>
      </c>
      <c r="C387" s="6" t="s">
        <v>12</v>
      </c>
      <c r="D387" s="6" t="s">
        <v>13</v>
      </c>
      <c r="E387" s="6" t="s">
        <v>1024</v>
      </c>
      <c r="F387" s="6" t="s">
        <v>1043</v>
      </c>
      <c r="G387" s="6" t="s">
        <v>16</v>
      </c>
      <c r="H387" s="5">
        <v>1</v>
      </c>
      <c r="I387" s="6" t="s">
        <v>1043</v>
      </c>
      <c r="J387" s="5">
        <v>495</v>
      </c>
    </row>
    <row r="388" s="2" customFormat="1" spans="1:10">
      <c r="A388" s="6">
        <f>386</f>
        <v>386</v>
      </c>
      <c r="B388" s="6" t="s">
        <v>1044</v>
      </c>
      <c r="C388" s="6" t="s">
        <v>12</v>
      </c>
      <c r="D388" s="6" t="s">
        <v>13</v>
      </c>
      <c r="E388" s="6" t="s">
        <v>1024</v>
      </c>
      <c r="F388" s="6" t="s">
        <v>1045</v>
      </c>
      <c r="G388" s="6" t="s">
        <v>16</v>
      </c>
      <c r="H388" s="5">
        <v>1</v>
      </c>
      <c r="I388" s="6" t="s">
        <v>1045</v>
      </c>
      <c r="J388" s="5">
        <v>500</v>
      </c>
    </row>
    <row r="389" s="2" customFormat="1" spans="1:10">
      <c r="A389" s="6">
        <f>387</f>
        <v>387</v>
      </c>
      <c r="B389" s="6" t="s">
        <v>1046</v>
      </c>
      <c r="C389" s="6" t="s">
        <v>12</v>
      </c>
      <c r="D389" s="6" t="s">
        <v>13</v>
      </c>
      <c r="E389" s="6" t="s">
        <v>1024</v>
      </c>
      <c r="F389" s="6" t="s">
        <v>1047</v>
      </c>
      <c r="G389" s="6" t="s">
        <v>16</v>
      </c>
      <c r="H389" s="5">
        <v>1</v>
      </c>
      <c r="I389" s="6" t="s">
        <v>1047</v>
      </c>
      <c r="J389" s="5">
        <v>550</v>
      </c>
    </row>
    <row r="390" s="2" customFormat="1" spans="1:10">
      <c r="A390" s="6">
        <f>388</f>
        <v>388</v>
      </c>
      <c r="B390" s="6" t="s">
        <v>1048</v>
      </c>
      <c r="C390" s="6" t="s">
        <v>12</v>
      </c>
      <c r="D390" s="6" t="s">
        <v>13</v>
      </c>
      <c r="E390" s="6" t="s">
        <v>1024</v>
      </c>
      <c r="F390" s="6" t="s">
        <v>1049</v>
      </c>
      <c r="G390" s="6" t="s">
        <v>16</v>
      </c>
      <c r="H390" s="5">
        <v>3</v>
      </c>
      <c r="I390" s="6" t="s">
        <v>1050</v>
      </c>
      <c r="J390" s="5">
        <v>1026</v>
      </c>
    </row>
    <row r="391" s="2" customFormat="1" spans="1:10">
      <c r="A391" s="6">
        <f>389</f>
        <v>389</v>
      </c>
      <c r="B391" s="6" t="s">
        <v>1051</v>
      </c>
      <c r="C391" s="6" t="s">
        <v>12</v>
      </c>
      <c r="D391" s="6" t="s">
        <v>13</v>
      </c>
      <c r="E391" s="6" t="s">
        <v>1024</v>
      </c>
      <c r="F391" s="6" t="s">
        <v>1052</v>
      </c>
      <c r="G391" s="6" t="s">
        <v>16</v>
      </c>
      <c r="H391" s="5">
        <v>1</v>
      </c>
      <c r="I391" s="6" t="s">
        <v>1052</v>
      </c>
      <c r="J391" s="5">
        <v>265</v>
      </c>
    </row>
    <row r="392" s="2" customFormat="1" spans="1:10">
      <c r="A392" s="6">
        <f>390</f>
        <v>390</v>
      </c>
      <c r="B392" s="6" t="s">
        <v>1053</v>
      </c>
      <c r="C392" s="6" t="s">
        <v>12</v>
      </c>
      <c r="D392" s="6" t="s">
        <v>13</v>
      </c>
      <c r="E392" s="6" t="s">
        <v>1024</v>
      </c>
      <c r="F392" s="6" t="s">
        <v>1054</v>
      </c>
      <c r="G392" s="6" t="s">
        <v>16</v>
      </c>
      <c r="H392" s="5">
        <v>1</v>
      </c>
      <c r="I392" s="6" t="s">
        <v>1054</v>
      </c>
      <c r="J392" s="5">
        <v>240</v>
      </c>
    </row>
    <row r="393" s="2" customFormat="1" spans="1:10">
      <c r="A393" s="6">
        <f>391</f>
        <v>391</v>
      </c>
      <c r="B393" s="6" t="s">
        <v>1055</v>
      </c>
      <c r="C393" s="6" t="s">
        <v>12</v>
      </c>
      <c r="D393" s="6" t="s">
        <v>13</v>
      </c>
      <c r="E393" s="6" t="s">
        <v>1024</v>
      </c>
      <c r="F393" s="6" t="s">
        <v>1056</v>
      </c>
      <c r="G393" s="6" t="s">
        <v>16</v>
      </c>
      <c r="H393" s="5">
        <v>2</v>
      </c>
      <c r="I393" s="6" t="s">
        <v>1057</v>
      </c>
      <c r="J393" s="5">
        <v>620</v>
      </c>
    </row>
    <row r="394" s="2" customFormat="1" spans="1:10">
      <c r="A394" s="6">
        <f>392</f>
        <v>392</v>
      </c>
      <c r="B394" s="6" t="s">
        <v>1058</v>
      </c>
      <c r="C394" s="6" t="s">
        <v>12</v>
      </c>
      <c r="D394" s="6" t="s">
        <v>13</v>
      </c>
      <c r="E394" s="6" t="s">
        <v>1024</v>
      </c>
      <c r="F394" s="6" t="s">
        <v>1059</v>
      </c>
      <c r="G394" s="6" t="s">
        <v>16</v>
      </c>
      <c r="H394" s="5">
        <v>1</v>
      </c>
      <c r="I394" s="6" t="s">
        <v>1059</v>
      </c>
      <c r="J394" s="5">
        <v>280</v>
      </c>
    </row>
    <row r="395" s="2" customFormat="1" spans="1:10">
      <c r="A395" s="6">
        <f>393</f>
        <v>393</v>
      </c>
      <c r="B395" s="6" t="s">
        <v>1060</v>
      </c>
      <c r="C395" s="6" t="s">
        <v>12</v>
      </c>
      <c r="D395" s="6" t="s">
        <v>13</v>
      </c>
      <c r="E395" s="6" t="s">
        <v>1024</v>
      </c>
      <c r="F395" s="6" t="s">
        <v>1061</v>
      </c>
      <c r="G395" s="6" t="s">
        <v>16</v>
      </c>
      <c r="H395" s="5">
        <v>3</v>
      </c>
      <c r="I395" s="6" t="s">
        <v>1062</v>
      </c>
      <c r="J395" s="5">
        <v>492</v>
      </c>
    </row>
    <row r="396" s="2" customFormat="1" spans="1:10">
      <c r="A396" s="6">
        <f>394</f>
        <v>394</v>
      </c>
      <c r="B396" s="6" t="s">
        <v>1063</v>
      </c>
      <c r="C396" s="6" t="s">
        <v>12</v>
      </c>
      <c r="D396" s="6" t="s">
        <v>13</v>
      </c>
      <c r="E396" s="6" t="s">
        <v>1024</v>
      </c>
      <c r="F396" s="6" t="s">
        <v>1064</v>
      </c>
      <c r="G396" s="6" t="s">
        <v>16</v>
      </c>
      <c r="H396" s="5">
        <v>3</v>
      </c>
      <c r="I396" s="6" t="s">
        <v>1065</v>
      </c>
      <c r="J396" s="5">
        <v>729</v>
      </c>
    </row>
    <row r="397" s="2" customFormat="1" spans="1:10">
      <c r="A397" s="6">
        <f>395</f>
        <v>395</v>
      </c>
      <c r="B397" s="6" t="s">
        <v>1066</v>
      </c>
      <c r="C397" s="6" t="s">
        <v>12</v>
      </c>
      <c r="D397" s="6" t="s">
        <v>13</v>
      </c>
      <c r="E397" s="6" t="s">
        <v>1024</v>
      </c>
      <c r="F397" s="6" t="s">
        <v>1067</v>
      </c>
      <c r="G397" s="6" t="s">
        <v>16</v>
      </c>
      <c r="H397" s="5">
        <v>2</v>
      </c>
      <c r="I397" s="6" t="s">
        <v>1068</v>
      </c>
      <c r="J397" s="5">
        <v>590</v>
      </c>
    </row>
    <row r="398" s="2" customFormat="1" spans="1:10">
      <c r="A398" s="6">
        <f>396</f>
        <v>396</v>
      </c>
      <c r="B398" s="6" t="s">
        <v>1069</v>
      </c>
      <c r="C398" s="6" t="s">
        <v>12</v>
      </c>
      <c r="D398" s="6" t="s">
        <v>13</v>
      </c>
      <c r="E398" s="6" t="s">
        <v>1024</v>
      </c>
      <c r="F398" s="6" t="s">
        <v>1070</v>
      </c>
      <c r="G398" s="6" t="s">
        <v>16</v>
      </c>
      <c r="H398" s="5">
        <v>2</v>
      </c>
      <c r="I398" s="6" t="s">
        <v>1071</v>
      </c>
      <c r="J398" s="5">
        <v>880</v>
      </c>
    </row>
    <row r="399" s="2" customFormat="1" spans="1:10">
      <c r="A399" s="6">
        <f>397</f>
        <v>397</v>
      </c>
      <c r="B399" s="6" t="s">
        <v>1072</v>
      </c>
      <c r="C399" s="6" t="s">
        <v>12</v>
      </c>
      <c r="D399" s="6" t="s">
        <v>13</v>
      </c>
      <c r="E399" s="6" t="s">
        <v>1024</v>
      </c>
      <c r="F399" s="6" t="s">
        <v>1073</v>
      </c>
      <c r="G399" s="6" t="s">
        <v>16</v>
      </c>
      <c r="H399" s="5">
        <v>3</v>
      </c>
      <c r="I399" s="6" t="s">
        <v>1074</v>
      </c>
      <c r="J399" s="5">
        <v>1070</v>
      </c>
    </row>
    <row r="400" s="2" customFormat="1" spans="1:10">
      <c r="A400" s="6">
        <f>398</f>
        <v>398</v>
      </c>
      <c r="B400" s="6" t="s">
        <v>1075</v>
      </c>
      <c r="C400" s="6" t="s">
        <v>12</v>
      </c>
      <c r="D400" s="6" t="s">
        <v>13</v>
      </c>
      <c r="E400" s="6" t="s">
        <v>1024</v>
      </c>
      <c r="F400" s="6" t="s">
        <v>1076</v>
      </c>
      <c r="G400" s="6" t="s">
        <v>16</v>
      </c>
      <c r="H400" s="5">
        <v>3</v>
      </c>
      <c r="I400" s="6" t="s">
        <v>1077</v>
      </c>
      <c r="J400" s="5">
        <v>880</v>
      </c>
    </row>
    <row r="401" s="2" customFormat="1" spans="1:10">
      <c r="A401" s="6">
        <f>399</f>
        <v>399</v>
      </c>
      <c r="B401" s="6" t="s">
        <v>1078</v>
      </c>
      <c r="C401" s="6" t="s">
        <v>12</v>
      </c>
      <c r="D401" s="6" t="s">
        <v>13</v>
      </c>
      <c r="E401" s="6" t="s">
        <v>1024</v>
      </c>
      <c r="F401" s="6" t="s">
        <v>1079</v>
      </c>
      <c r="G401" s="6" t="s">
        <v>16</v>
      </c>
      <c r="H401" s="5">
        <v>2</v>
      </c>
      <c r="I401" s="6" t="s">
        <v>1080</v>
      </c>
      <c r="J401" s="5">
        <v>708</v>
      </c>
    </row>
    <row r="402" s="2" customFormat="1" ht="40.5" spans="1:10">
      <c r="A402" s="6">
        <f>400</f>
        <v>400</v>
      </c>
      <c r="B402" s="6" t="s">
        <v>1081</v>
      </c>
      <c r="C402" s="6" t="s">
        <v>12</v>
      </c>
      <c r="D402" s="6" t="s">
        <v>13</v>
      </c>
      <c r="E402" s="6" t="s">
        <v>1024</v>
      </c>
      <c r="F402" s="6" t="s">
        <v>1082</v>
      </c>
      <c r="G402" s="6" t="s">
        <v>16</v>
      </c>
      <c r="H402" s="5">
        <v>7</v>
      </c>
      <c r="I402" s="6" t="s">
        <v>1083</v>
      </c>
      <c r="J402" s="5">
        <v>2320</v>
      </c>
    </row>
    <row r="403" s="2" customFormat="1" spans="1:10">
      <c r="A403" s="6">
        <f>401</f>
        <v>401</v>
      </c>
      <c r="B403" s="6" t="s">
        <v>1084</v>
      </c>
      <c r="C403" s="6" t="s">
        <v>12</v>
      </c>
      <c r="D403" s="6" t="s">
        <v>13</v>
      </c>
      <c r="E403" s="6" t="s">
        <v>1024</v>
      </c>
      <c r="F403" s="6" t="s">
        <v>1085</v>
      </c>
      <c r="G403" s="6" t="s">
        <v>16</v>
      </c>
      <c r="H403" s="5">
        <v>3</v>
      </c>
      <c r="I403" s="6" t="s">
        <v>1086</v>
      </c>
      <c r="J403" s="5">
        <v>880</v>
      </c>
    </row>
    <row r="404" s="2" customFormat="1" spans="1:10">
      <c r="A404" s="6">
        <f>402</f>
        <v>402</v>
      </c>
      <c r="B404" s="6" t="s">
        <v>1087</v>
      </c>
      <c r="C404" s="6" t="s">
        <v>12</v>
      </c>
      <c r="D404" s="6" t="s">
        <v>13</v>
      </c>
      <c r="E404" s="6" t="s">
        <v>1024</v>
      </c>
      <c r="F404" s="6" t="s">
        <v>1088</v>
      </c>
      <c r="G404" s="6" t="s">
        <v>16</v>
      </c>
      <c r="H404" s="5">
        <v>2</v>
      </c>
      <c r="I404" s="6" t="s">
        <v>1089</v>
      </c>
      <c r="J404" s="5">
        <v>620</v>
      </c>
    </row>
    <row r="405" s="2" customFormat="1" spans="1:10">
      <c r="A405" s="6">
        <f>403</f>
        <v>403</v>
      </c>
      <c r="B405" s="6" t="s">
        <v>1090</v>
      </c>
      <c r="C405" s="6" t="s">
        <v>12</v>
      </c>
      <c r="D405" s="6" t="s">
        <v>13</v>
      </c>
      <c r="E405" s="6" t="s">
        <v>1024</v>
      </c>
      <c r="F405" s="6" t="s">
        <v>1091</v>
      </c>
      <c r="G405" s="6" t="s">
        <v>16</v>
      </c>
      <c r="H405" s="5">
        <v>2</v>
      </c>
      <c r="I405" s="6" t="s">
        <v>1092</v>
      </c>
      <c r="J405" s="5">
        <v>670</v>
      </c>
    </row>
    <row r="406" s="2" customFormat="1" spans="1:10">
      <c r="A406" s="6">
        <f>404</f>
        <v>404</v>
      </c>
      <c r="B406" s="6" t="s">
        <v>1093</v>
      </c>
      <c r="C406" s="6" t="s">
        <v>12</v>
      </c>
      <c r="D406" s="6" t="s">
        <v>13</v>
      </c>
      <c r="E406" s="6" t="s">
        <v>1024</v>
      </c>
      <c r="F406" s="6" t="s">
        <v>1094</v>
      </c>
      <c r="G406" s="6" t="s">
        <v>16</v>
      </c>
      <c r="H406" s="5">
        <v>1</v>
      </c>
      <c r="I406" s="6" t="s">
        <v>1094</v>
      </c>
      <c r="J406" s="5">
        <v>280</v>
      </c>
    </row>
    <row r="407" s="2" customFormat="1" spans="1:10">
      <c r="A407" s="6">
        <f>405</f>
        <v>405</v>
      </c>
      <c r="B407" s="6" t="s">
        <v>1095</v>
      </c>
      <c r="C407" s="6" t="s">
        <v>12</v>
      </c>
      <c r="D407" s="6" t="s">
        <v>13</v>
      </c>
      <c r="E407" s="6" t="s">
        <v>1024</v>
      </c>
      <c r="F407" s="6" t="s">
        <v>1096</v>
      </c>
      <c r="G407" s="6" t="s">
        <v>16</v>
      </c>
      <c r="H407" s="5">
        <v>2</v>
      </c>
      <c r="I407" s="6" t="s">
        <v>1097</v>
      </c>
      <c r="J407" s="5">
        <v>570</v>
      </c>
    </row>
    <row r="408" s="2" customFormat="1" spans="1:10">
      <c r="A408" s="6">
        <f>406</f>
        <v>406</v>
      </c>
      <c r="B408" s="6" t="s">
        <v>1098</v>
      </c>
      <c r="C408" s="6" t="s">
        <v>12</v>
      </c>
      <c r="D408" s="6" t="s">
        <v>13</v>
      </c>
      <c r="E408" s="6" t="s">
        <v>1024</v>
      </c>
      <c r="F408" s="6" t="s">
        <v>1099</v>
      </c>
      <c r="G408" s="6" t="s">
        <v>16</v>
      </c>
      <c r="H408" s="5">
        <v>2</v>
      </c>
      <c r="I408" s="6" t="s">
        <v>1100</v>
      </c>
      <c r="J408" s="5">
        <v>622</v>
      </c>
    </row>
    <row r="409" s="2" customFormat="1" spans="1:10">
      <c r="A409" s="6">
        <f>407</f>
        <v>407</v>
      </c>
      <c r="B409" s="6" t="s">
        <v>1101</v>
      </c>
      <c r="C409" s="6" t="s">
        <v>12</v>
      </c>
      <c r="D409" s="6" t="s">
        <v>13</v>
      </c>
      <c r="E409" s="6" t="s">
        <v>1024</v>
      </c>
      <c r="F409" s="6" t="s">
        <v>1102</v>
      </c>
      <c r="G409" s="6" t="s">
        <v>16</v>
      </c>
      <c r="H409" s="5">
        <v>3</v>
      </c>
      <c r="I409" s="6" t="s">
        <v>1103</v>
      </c>
      <c r="J409" s="5">
        <v>1191</v>
      </c>
    </row>
    <row r="410" s="2" customFormat="1" spans="1:10">
      <c r="A410" s="6">
        <f>408</f>
        <v>408</v>
      </c>
      <c r="B410" s="6" t="s">
        <v>1104</v>
      </c>
      <c r="C410" s="6" t="s">
        <v>12</v>
      </c>
      <c r="D410" s="6" t="s">
        <v>13</v>
      </c>
      <c r="E410" s="6" t="s">
        <v>1105</v>
      </c>
      <c r="F410" s="6" t="s">
        <v>1106</v>
      </c>
      <c r="G410" s="6" t="s">
        <v>16</v>
      </c>
      <c r="H410" s="5">
        <v>3</v>
      </c>
      <c r="I410" s="6" t="s">
        <v>1107</v>
      </c>
      <c r="J410" s="5">
        <v>1000</v>
      </c>
    </row>
    <row r="411" s="2" customFormat="1" ht="27" spans="1:10">
      <c r="A411" s="6">
        <f>409</f>
        <v>409</v>
      </c>
      <c r="B411" s="6" t="s">
        <v>1108</v>
      </c>
      <c r="C411" s="6" t="s">
        <v>12</v>
      </c>
      <c r="D411" s="6" t="s">
        <v>13</v>
      </c>
      <c r="E411" s="6" t="s">
        <v>1105</v>
      </c>
      <c r="F411" s="6" t="s">
        <v>1109</v>
      </c>
      <c r="G411" s="6" t="s">
        <v>16</v>
      </c>
      <c r="H411" s="5">
        <v>5</v>
      </c>
      <c r="I411" s="6" t="s">
        <v>1110</v>
      </c>
      <c r="J411" s="5">
        <v>1080</v>
      </c>
    </row>
    <row r="412" s="2" customFormat="1" spans="1:10">
      <c r="A412" s="6">
        <f>410</f>
        <v>410</v>
      </c>
      <c r="B412" s="6" t="s">
        <v>1111</v>
      </c>
      <c r="C412" s="6" t="s">
        <v>12</v>
      </c>
      <c r="D412" s="6" t="s">
        <v>13</v>
      </c>
      <c r="E412" s="6" t="s">
        <v>1105</v>
      </c>
      <c r="F412" s="6" t="s">
        <v>1112</v>
      </c>
      <c r="G412" s="6" t="s">
        <v>16</v>
      </c>
      <c r="H412" s="5">
        <v>1</v>
      </c>
      <c r="I412" s="6" t="s">
        <v>1112</v>
      </c>
      <c r="J412" s="5">
        <v>620</v>
      </c>
    </row>
    <row r="413" s="2" customFormat="1" ht="27" spans="1:10">
      <c r="A413" s="6">
        <f>411</f>
        <v>411</v>
      </c>
      <c r="B413" s="6" t="s">
        <v>1113</v>
      </c>
      <c r="C413" s="6" t="s">
        <v>12</v>
      </c>
      <c r="D413" s="6" t="s">
        <v>13</v>
      </c>
      <c r="E413" s="6" t="s">
        <v>1105</v>
      </c>
      <c r="F413" s="6" t="s">
        <v>1114</v>
      </c>
      <c r="G413" s="6" t="s">
        <v>16</v>
      </c>
      <c r="H413" s="5">
        <v>5</v>
      </c>
      <c r="I413" s="6" t="s">
        <v>1115</v>
      </c>
      <c r="J413" s="5">
        <v>1200</v>
      </c>
    </row>
    <row r="414" s="2" customFormat="1" ht="27" spans="1:10">
      <c r="A414" s="6">
        <f>412</f>
        <v>412</v>
      </c>
      <c r="B414" s="6" t="s">
        <v>1116</v>
      </c>
      <c r="C414" s="6" t="s">
        <v>12</v>
      </c>
      <c r="D414" s="6" t="s">
        <v>13</v>
      </c>
      <c r="E414" s="6" t="s">
        <v>1105</v>
      </c>
      <c r="F414" s="6" t="s">
        <v>1117</v>
      </c>
      <c r="G414" s="6" t="s">
        <v>16</v>
      </c>
      <c r="H414" s="5">
        <v>6</v>
      </c>
      <c r="I414" s="6" t="s">
        <v>1118</v>
      </c>
      <c r="J414" s="5">
        <v>1920</v>
      </c>
    </row>
    <row r="415" s="2" customFormat="1" spans="1:10">
      <c r="A415" s="6">
        <f>413</f>
        <v>413</v>
      </c>
      <c r="B415" s="6" t="s">
        <v>1119</v>
      </c>
      <c r="C415" s="6" t="s">
        <v>12</v>
      </c>
      <c r="D415" s="6" t="s">
        <v>13</v>
      </c>
      <c r="E415" s="6" t="s">
        <v>1105</v>
      </c>
      <c r="F415" s="6" t="s">
        <v>1120</v>
      </c>
      <c r="G415" s="6" t="s">
        <v>16</v>
      </c>
      <c r="H415" s="5">
        <v>1</v>
      </c>
      <c r="I415" s="6" t="s">
        <v>1120</v>
      </c>
      <c r="J415" s="5">
        <v>620</v>
      </c>
    </row>
    <row r="416" s="2" customFormat="1" spans="1:10">
      <c r="A416" s="6">
        <f>414</f>
        <v>414</v>
      </c>
      <c r="B416" s="6" t="s">
        <v>1121</v>
      </c>
      <c r="C416" s="6" t="s">
        <v>12</v>
      </c>
      <c r="D416" s="6" t="s">
        <v>13</v>
      </c>
      <c r="E416" s="6" t="s">
        <v>1105</v>
      </c>
      <c r="F416" s="6" t="s">
        <v>1122</v>
      </c>
      <c r="G416" s="6" t="s">
        <v>16</v>
      </c>
      <c r="H416" s="5">
        <v>3</v>
      </c>
      <c r="I416" s="6" t="s">
        <v>1123</v>
      </c>
      <c r="J416" s="5">
        <v>600</v>
      </c>
    </row>
    <row r="417" s="2" customFormat="1" spans="1:10">
      <c r="A417" s="6">
        <f>415</f>
        <v>415</v>
      </c>
      <c r="B417" s="6" t="s">
        <v>1124</v>
      </c>
      <c r="C417" s="6" t="s">
        <v>12</v>
      </c>
      <c r="D417" s="6" t="s">
        <v>13</v>
      </c>
      <c r="E417" s="6" t="s">
        <v>1105</v>
      </c>
      <c r="F417" s="6" t="s">
        <v>1125</v>
      </c>
      <c r="G417" s="6" t="s">
        <v>16</v>
      </c>
      <c r="H417" s="5">
        <v>3</v>
      </c>
      <c r="I417" s="6" t="s">
        <v>1126</v>
      </c>
      <c r="J417" s="5">
        <v>1060</v>
      </c>
    </row>
    <row r="418" s="2" customFormat="1" spans="1:10">
      <c r="A418" s="6">
        <f>416</f>
        <v>416</v>
      </c>
      <c r="B418" s="6" t="s">
        <v>1127</v>
      </c>
      <c r="C418" s="6" t="s">
        <v>12</v>
      </c>
      <c r="D418" s="6" t="s">
        <v>13</v>
      </c>
      <c r="E418" s="6" t="s">
        <v>1105</v>
      </c>
      <c r="F418" s="6" t="s">
        <v>1128</v>
      </c>
      <c r="G418" s="6" t="s">
        <v>16</v>
      </c>
      <c r="H418" s="5">
        <v>2</v>
      </c>
      <c r="I418" s="6" t="s">
        <v>1129</v>
      </c>
      <c r="J418" s="5">
        <v>800</v>
      </c>
    </row>
    <row r="419" s="2" customFormat="1" ht="27" spans="1:10">
      <c r="A419" s="6">
        <f>417</f>
        <v>417</v>
      </c>
      <c r="B419" s="6" t="s">
        <v>1130</v>
      </c>
      <c r="C419" s="6" t="s">
        <v>12</v>
      </c>
      <c r="D419" s="6" t="s">
        <v>13</v>
      </c>
      <c r="E419" s="6" t="s">
        <v>1105</v>
      </c>
      <c r="F419" s="6" t="s">
        <v>1131</v>
      </c>
      <c r="G419" s="6" t="s">
        <v>16</v>
      </c>
      <c r="H419" s="5">
        <v>5</v>
      </c>
      <c r="I419" s="6" t="s">
        <v>1132</v>
      </c>
      <c r="J419" s="5">
        <v>1100</v>
      </c>
    </row>
    <row r="420" s="2" customFormat="1" spans="1:10">
      <c r="A420" s="6">
        <f>418</f>
        <v>418</v>
      </c>
      <c r="B420" s="6" t="s">
        <v>1133</v>
      </c>
      <c r="C420" s="6" t="s">
        <v>12</v>
      </c>
      <c r="D420" s="6" t="s">
        <v>13</v>
      </c>
      <c r="E420" s="6" t="s">
        <v>1105</v>
      </c>
      <c r="F420" s="6" t="s">
        <v>1134</v>
      </c>
      <c r="G420" s="6" t="s">
        <v>16</v>
      </c>
      <c r="H420" s="5">
        <v>2</v>
      </c>
      <c r="I420" s="6" t="s">
        <v>1135</v>
      </c>
      <c r="J420" s="5">
        <v>800</v>
      </c>
    </row>
    <row r="421" s="2" customFormat="1" ht="27" spans="1:10">
      <c r="A421" s="6">
        <f>419</f>
        <v>419</v>
      </c>
      <c r="B421" s="6" t="s">
        <v>1136</v>
      </c>
      <c r="C421" s="6" t="s">
        <v>12</v>
      </c>
      <c r="D421" s="6" t="s">
        <v>13</v>
      </c>
      <c r="E421" s="6" t="s">
        <v>1105</v>
      </c>
      <c r="F421" s="6" t="s">
        <v>1137</v>
      </c>
      <c r="G421" s="6" t="s">
        <v>16</v>
      </c>
      <c r="H421" s="5">
        <v>6</v>
      </c>
      <c r="I421" s="6" t="s">
        <v>1138</v>
      </c>
      <c r="J421" s="5">
        <v>1200</v>
      </c>
    </row>
    <row r="422" s="2" customFormat="1" spans="1:10">
      <c r="A422" s="6">
        <f>420</f>
        <v>420</v>
      </c>
      <c r="B422" s="6" t="s">
        <v>1139</v>
      </c>
      <c r="C422" s="6" t="s">
        <v>12</v>
      </c>
      <c r="D422" s="6" t="s">
        <v>13</v>
      </c>
      <c r="E422" s="6" t="s">
        <v>1105</v>
      </c>
      <c r="F422" s="6" t="s">
        <v>1140</v>
      </c>
      <c r="G422" s="6" t="s">
        <v>16</v>
      </c>
      <c r="H422" s="5">
        <v>3</v>
      </c>
      <c r="I422" s="6" t="s">
        <v>1141</v>
      </c>
      <c r="J422" s="5">
        <v>1000</v>
      </c>
    </row>
    <row r="423" s="2" customFormat="1" ht="27" spans="1:10">
      <c r="A423" s="6">
        <f>421</f>
        <v>421</v>
      </c>
      <c r="B423" s="6" t="s">
        <v>1142</v>
      </c>
      <c r="C423" s="6" t="s">
        <v>12</v>
      </c>
      <c r="D423" s="6" t="s">
        <v>13</v>
      </c>
      <c r="E423" s="6" t="s">
        <v>1105</v>
      </c>
      <c r="F423" s="6" t="s">
        <v>1143</v>
      </c>
      <c r="G423" s="6" t="s">
        <v>16</v>
      </c>
      <c r="H423" s="5">
        <v>5</v>
      </c>
      <c r="I423" s="6" t="s">
        <v>1144</v>
      </c>
      <c r="J423" s="5">
        <v>700</v>
      </c>
    </row>
    <row r="424" s="2" customFormat="1" spans="1:10">
      <c r="A424" s="6">
        <f>422</f>
        <v>422</v>
      </c>
      <c r="B424" s="6" t="s">
        <v>1145</v>
      </c>
      <c r="C424" s="6" t="s">
        <v>12</v>
      </c>
      <c r="D424" s="6" t="s">
        <v>13</v>
      </c>
      <c r="E424" s="6" t="s">
        <v>1105</v>
      </c>
      <c r="F424" s="6" t="s">
        <v>1146</v>
      </c>
      <c r="G424" s="6" t="s">
        <v>16</v>
      </c>
      <c r="H424" s="5">
        <v>2</v>
      </c>
      <c r="I424" s="6" t="s">
        <v>1147</v>
      </c>
      <c r="J424" s="5">
        <v>640</v>
      </c>
    </row>
    <row r="425" s="2" customFormat="1" spans="1:10">
      <c r="A425" s="6">
        <f>423</f>
        <v>423</v>
      </c>
      <c r="B425" s="6" t="s">
        <v>1148</v>
      </c>
      <c r="C425" s="6" t="s">
        <v>12</v>
      </c>
      <c r="D425" s="6" t="s">
        <v>13</v>
      </c>
      <c r="E425" s="6" t="s">
        <v>1105</v>
      </c>
      <c r="F425" s="6" t="s">
        <v>1149</v>
      </c>
      <c r="G425" s="6" t="s">
        <v>16</v>
      </c>
      <c r="H425" s="5">
        <v>2</v>
      </c>
      <c r="I425" s="6" t="s">
        <v>1150</v>
      </c>
      <c r="J425" s="5">
        <v>600</v>
      </c>
    </row>
    <row r="426" s="2" customFormat="1" spans="1:10">
      <c r="A426" s="6">
        <f>424</f>
        <v>424</v>
      </c>
      <c r="B426" s="6" t="s">
        <v>1151</v>
      </c>
      <c r="C426" s="6" t="s">
        <v>12</v>
      </c>
      <c r="D426" s="6" t="s">
        <v>13</v>
      </c>
      <c r="E426" s="6" t="s">
        <v>1105</v>
      </c>
      <c r="F426" s="6" t="s">
        <v>1152</v>
      </c>
      <c r="G426" s="6" t="s">
        <v>16</v>
      </c>
      <c r="H426" s="5">
        <v>3</v>
      </c>
      <c r="I426" s="6" t="s">
        <v>1153</v>
      </c>
      <c r="J426" s="5">
        <v>1000</v>
      </c>
    </row>
    <row r="427" s="2" customFormat="1" ht="27" spans="1:10">
      <c r="A427" s="6">
        <f>425</f>
        <v>425</v>
      </c>
      <c r="B427" s="6" t="s">
        <v>1154</v>
      </c>
      <c r="C427" s="6" t="s">
        <v>12</v>
      </c>
      <c r="D427" s="6" t="s">
        <v>13</v>
      </c>
      <c r="E427" s="6" t="s">
        <v>1105</v>
      </c>
      <c r="F427" s="6" t="s">
        <v>1155</v>
      </c>
      <c r="G427" s="6" t="s">
        <v>16</v>
      </c>
      <c r="H427" s="5">
        <v>5</v>
      </c>
      <c r="I427" s="6" t="s">
        <v>1156</v>
      </c>
      <c r="J427" s="5">
        <v>700</v>
      </c>
    </row>
    <row r="428" s="2" customFormat="1" spans="1:10">
      <c r="A428" s="6">
        <f>426</f>
        <v>426</v>
      </c>
      <c r="B428" s="6" t="s">
        <v>1157</v>
      </c>
      <c r="C428" s="6" t="s">
        <v>12</v>
      </c>
      <c r="D428" s="6" t="s">
        <v>13</v>
      </c>
      <c r="E428" s="6" t="s">
        <v>1105</v>
      </c>
      <c r="F428" s="6" t="s">
        <v>1158</v>
      </c>
      <c r="G428" s="6" t="s">
        <v>16</v>
      </c>
      <c r="H428" s="5">
        <v>2</v>
      </c>
      <c r="I428" s="6" t="s">
        <v>1159</v>
      </c>
      <c r="J428" s="5">
        <v>600</v>
      </c>
    </row>
    <row r="429" s="2" customFormat="1" spans="1:10">
      <c r="A429" s="6">
        <f>427</f>
        <v>427</v>
      </c>
      <c r="B429" s="6" t="s">
        <v>1160</v>
      </c>
      <c r="C429" s="6" t="s">
        <v>12</v>
      </c>
      <c r="D429" s="6" t="s">
        <v>13</v>
      </c>
      <c r="E429" s="6" t="s">
        <v>1105</v>
      </c>
      <c r="F429" s="6" t="s">
        <v>1161</v>
      </c>
      <c r="G429" s="6" t="s">
        <v>16</v>
      </c>
      <c r="H429" s="5">
        <v>3</v>
      </c>
      <c r="I429" s="6" t="s">
        <v>1162</v>
      </c>
      <c r="J429" s="5">
        <v>600</v>
      </c>
    </row>
    <row r="430" s="2" customFormat="1" spans="1:10">
      <c r="A430" s="6">
        <f>428</f>
        <v>428</v>
      </c>
      <c r="B430" s="6" t="s">
        <v>1163</v>
      </c>
      <c r="C430" s="6" t="s">
        <v>12</v>
      </c>
      <c r="D430" s="6" t="s">
        <v>13</v>
      </c>
      <c r="E430" s="6" t="s">
        <v>1105</v>
      </c>
      <c r="F430" s="6" t="s">
        <v>1164</v>
      </c>
      <c r="G430" s="6" t="s">
        <v>16</v>
      </c>
      <c r="H430" s="5">
        <v>3</v>
      </c>
      <c r="I430" s="6" t="s">
        <v>1165</v>
      </c>
      <c r="J430" s="5">
        <v>410</v>
      </c>
    </row>
    <row r="431" s="2" customFormat="1" spans="1:10">
      <c r="A431" s="6">
        <f>429</f>
        <v>429</v>
      </c>
      <c r="B431" s="6" t="s">
        <v>1166</v>
      </c>
      <c r="C431" s="6" t="s">
        <v>12</v>
      </c>
      <c r="D431" s="6" t="s">
        <v>13</v>
      </c>
      <c r="E431" s="6" t="s">
        <v>1105</v>
      </c>
      <c r="F431" s="6" t="s">
        <v>1167</v>
      </c>
      <c r="G431" s="6" t="s">
        <v>16</v>
      </c>
      <c r="H431" s="5">
        <v>3</v>
      </c>
      <c r="I431" s="6" t="s">
        <v>1168</v>
      </c>
      <c r="J431" s="5">
        <v>1200</v>
      </c>
    </row>
    <row r="432" s="2" customFormat="1" spans="1:10">
      <c r="A432" s="6">
        <f>430</f>
        <v>430</v>
      </c>
      <c r="B432" s="6" t="s">
        <v>1169</v>
      </c>
      <c r="C432" s="6" t="s">
        <v>12</v>
      </c>
      <c r="D432" s="6" t="s">
        <v>13</v>
      </c>
      <c r="E432" s="6" t="s">
        <v>1105</v>
      </c>
      <c r="F432" s="6" t="s">
        <v>1170</v>
      </c>
      <c r="G432" s="6" t="s">
        <v>16</v>
      </c>
      <c r="H432" s="5">
        <v>3</v>
      </c>
      <c r="I432" s="6" t="s">
        <v>1171</v>
      </c>
      <c r="J432" s="5">
        <v>610</v>
      </c>
    </row>
    <row r="433" s="2" customFormat="1" spans="1:10">
      <c r="A433" s="6">
        <f>431</f>
        <v>431</v>
      </c>
      <c r="B433" s="6" t="s">
        <v>1172</v>
      </c>
      <c r="C433" s="6" t="s">
        <v>12</v>
      </c>
      <c r="D433" s="6" t="s">
        <v>13</v>
      </c>
      <c r="E433" s="6" t="s">
        <v>1105</v>
      </c>
      <c r="F433" s="6" t="s">
        <v>1173</v>
      </c>
      <c r="G433" s="6" t="s">
        <v>16</v>
      </c>
      <c r="H433" s="5">
        <v>3</v>
      </c>
      <c r="I433" s="6" t="s">
        <v>1174</v>
      </c>
      <c r="J433" s="5">
        <v>600</v>
      </c>
    </row>
    <row r="434" s="2" customFormat="1" spans="1:10">
      <c r="A434" s="6">
        <f>432</f>
        <v>432</v>
      </c>
      <c r="B434" s="6" t="s">
        <v>1175</v>
      </c>
      <c r="C434" s="6" t="s">
        <v>12</v>
      </c>
      <c r="D434" s="6" t="s">
        <v>13</v>
      </c>
      <c r="E434" s="6" t="s">
        <v>1105</v>
      </c>
      <c r="F434" s="6" t="s">
        <v>1176</v>
      </c>
      <c r="G434" s="6" t="s">
        <v>16</v>
      </c>
      <c r="H434" s="5">
        <v>3</v>
      </c>
      <c r="I434" s="6" t="s">
        <v>1177</v>
      </c>
      <c r="J434" s="5">
        <v>1860</v>
      </c>
    </row>
    <row r="435" s="2" customFormat="1" spans="1:10">
      <c r="A435" s="6">
        <f>433</f>
        <v>433</v>
      </c>
      <c r="B435" s="6" t="s">
        <v>1178</v>
      </c>
      <c r="C435" s="6" t="s">
        <v>12</v>
      </c>
      <c r="D435" s="6" t="s">
        <v>13</v>
      </c>
      <c r="E435" s="6" t="s">
        <v>1105</v>
      </c>
      <c r="F435" s="6" t="s">
        <v>1179</v>
      </c>
      <c r="G435" s="6" t="s">
        <v>16</v>
      </c>
      <c r="H435" s="5">
        <v>1</v>
      </c>
      <c r="I435" s="6" t="s">
        <v>1179</v>
      </c>
      <c r="J435" s="5">
        <v>620</v>
      </c>
    </row>
    <row r="436" s="2" customFormat="1" ht="27" spans="1:10">
      <c r="A436" s="6">
        <f>434</f>
        <v>434</v>
      </c>
      <c r="B436" s="6" t="s">
        <v>1180</v>
      </c>
      <c r="C436" s="6" t="s">
        <v>12</v>
      </c>
      <c r="D436" s="6" t="s">
        <v>13</v>
      </c>
      <c r="E436" s="6" t="s">
        <v>1105</v>
      </c>
      <c r="F436" s="6" t="s">
        <v>1181</v>
      </c>
      <c r="G436" s="6" t="s">
        <v>16</v>
      </c>
      <c r="H436" s="5">
        <v>6</v>
      </c>
      <c r="I436" s="6" t="s">
        <v>1182</v>
      </c>
      <c r="J436" s="5">
        <v>770</v>
      </c>
    </row>
    <row r="437" s="2" customFormat="1" ht="27" spans="1:10">
      <c r="A437" s="6">
        <f>435</f>
        <v>435</v>
      </c>
      <c r="B437" s="6" t="s">
        <v>1183</v>
      </c>
      <c r="C437" s="6" t="s">
        <v>12</v>
      </c>
      <c r="D437" s="6" t="s">
        <v>13</v>
      </c>
      <c r="E437" s="6" t="s">
        <v>1105</v>
      </c>
      <c r="F437" s="6" t="s">
        <v>1184</v>
      </c>
      <c r="G437" s="6" t="s">
        <v>16</v>
      </c>
      <c r="H437" s="5">
        <v>4</v>
      </c>
      <c r="I437" s="6" t="s">
        <v>1185</v>
      </c>
      <c r="J437" s="5">
        <v>800</v>
      </c>
    </row>
    <row r="438" s="2" customFormat="1" spans="1:10">
      <c r="A438" s="6">
        <f>436</f>
        <v>436</v>
      </c>
      <c r="B438" s="6" t="s">
        <v>1186</v>
      </c>
      <c r="C438" s="6" t="s">
        <v>12</v>
      </c>
      <c r="D438" s="6" t="s">
        <v>13</v>
      </c>
      <c r="E438" s="6" t="s">
        <v>1105</v>
      </c>
      <c r="F438" s="6" t="s">
        <v>1187</v>
      </c>
      <c r="G438" s="6" t="s">
        <v>16</v>
      </c>
      <c r="H438" s="5">
        <v>1</v>
      </c>
      <c r="I438" s="6" t="s">
        <v>1187</v>
      </c>
      <c r="J438" s="5">
        <v>200</v>
      </c>
    </row>
    <row r="439" s="2" customFormat="1" spans="1:10">
      <c r="A439" s="6">
        <f>437</f>
        <v>437</v>
      </c>
      <c r="B439" s="6" t="s">
        <v>1188</v>
      </c>
      <c r="C439" s="6" t="s">
        <v>12</v>
      </c>
      <c r="D439" s="6" t="s">
        <v>13</v>
      </c>
      <c r="E439" s="6" t="s">
        <v>1105</v>
      </c>
      <c r="F439" s="6" t="s">
        <v>1189</v>
      </c>
      <c r="G439" s="6" t="s">
        <v>16</v>
      </c>
      <c r="H439" s="5">
        <v>1</v>
      </c>
      <c r="I439" s="6" t="s">
        <v>1189</v>
      </c>
      <c r="J439" s="5">
        <v>500</v>
      </c>
    </row>
    <row r="440" s="2" customFormat="1" ht="27" spans="1:10">
      <c r="A440" s="6">
        <f>438</f>
        <v>438</v>
      </c>
      <c r="B440" s="6" t="s">
        <v>1190</v>
      </c>
      <c r="C440" s="6" t="s">
        <v>12</v>
      </c>
      <c r="D440" s="6" t="s">
        <v>13</v>
      </c>
      <c r="E440" s="6" t="s">
        <v>1105</v>
      </c>
      <c r="F440" s="6" t="s">
        <v>1191</v>
      </c>
      <c r="G440" s="6" t="s">
        <v>16</v>
      </c>
      <c r="H440" s="5">
        <v>4</v>
      </c>
      <c r="I440" s="6" t="s">
        <v>1192</v>
      </c>
      <c r="J440" s="5">
        <v>1000</v>
      </c>
    </row>
    <row r="441" s="2" customFormat="1" spans="1:10">
      <c r="A441" s="6">
        <f>439</f>
        <v>439</v>
      </c>
      <c r="B441" s="6" t="s">
        <v>1193</v>
      </c>
      <c r="C441" s="6" t="s">
        <v>12</v>
      </c>
      <c r="D441" s="6" t="s">
        <v>13</v>
      </c>
      <c r="E441" s="6" t="s">
        <v>1105</v>
      </c>
      <c r="F441" s="6" t="s">
        <v>1194</v>
      </c>
      <c r="G441" s="6" t="s">
        <v>16</v>
      </c>
      <c r="H441" s="5">
        <v>3</v>
      </c>
      <c r="I441" s="6" t="s">
        <v>1195</v>
      </c>
      <c r="J441" s="5">
        <v>460</v>
      </c>
    </row>
    <row r="442" s="2" customFormat="1" spans="1:10">
      <c r="A442" s="6">
        <f>440</f>
        <v>440</v>
      </c>
      <c r="B442" s="6" t="s">
        <v>1196</v>
      </c>
      <c r="C442" s="6" t="s">
        <v>12</v>
      </c>
      <c r="D442" s="6" t="s">
        <v>13</v>
      </c>
      <c r="E442" s="6" t="s">
        <v>1105</v>
      </c>
      <c r="F442" s="6" t="s">
        <v>1197</v>
      </c>
      <c r="G442" s="6" t="s">
        <v>16</v>
      </c>
      <c r="H442" s="5">
        <v>1</v>
      </c>
      <c r="I442" s="6" t="s">
        <v>1197</v>
      </c>
      <c r="J442" s="5">
        <v>620</v>
      </c>
    </row>
    <row r="443" s="2" customFormat="1" spans="1:10">
      <c r="A443" s="6">
        <f>441</f>
        <v>441</v>
      </c>
      <c r="B443" s="6" t="s">
        <v>1198</v>
      </c>
      <c r="C443" s="6" t="s">
        <v>12</v>
      </c>
      <c r="D443" s="6" t="s">
        <v>13</v>
      </c>
      <c r="E443" s="6" t="s">
        <v>1105</v>
      </c>
      <c r="F443" s="6" t="s">
        <v>1199</v>
      </c>
      <c r="G443" s="6" t="s">
        <v>16</v>
      </c>
      <c r="H443" s="5">
        <v>3</v>
      </c>
      <c r="I443" s="6" t="s">
        <v>1200</v>
      </c>
      <c r="J443" s="5">
        <v>580</v>
      </c>
    </row>
    <row r="444" s="2" customFormat="1" ht="27" spans="1:10">
      <c r="A444" s="6">
        <f>442</f>
        <v>442</v>
      </c>
      <c r="B444" s="6" t="s">
        <v>1201</v>
      </c>
      <c r="C444" s="6" t="s">
        <v>12</v>
      </c>
      <c r="D444" s="6" t="s">
        <v>13</v>
      </c>
      <c r="E444" s="6" t="s">
        <v>1105</v>
      </c>
      <c r="F444" s="6" t="s">
        <v>1202</v>
      </c>
      <c r="G444" s="6" t="s">
        <v>16</v>
      </c>
      <c r="H444" s="5">
        <v>5</v>
      </c>
      <c r="I444" s="6" t="s">
        <v>1203</v>
      </c>
      <c r="J444" s="5">
        <v>700</v>
      </c>
    </row>
    <row r="445" s="2" customFormat="1" spans="1:10">
      <c r="A445" s="6">
        <f>443</f>
        <v>443</v>
      </c>
      <c r="B445" s="6" t="s">
        <v>1204</v>
      </c>
      <c r="C445" s="6" t="s">
        <v>12</v>
      </c>
      <c r="D445" s="6" t="s">
        <v>13</v>
      </c>
      <c r="E445" s="6" t="s">
        <v>1105</v>
      </c>
      <c r="F445" s="6" t="s">
        <v>1205</v>
      </c>
      <c r="G445" s="6" t="s">
        <v>16</v>
      </c>
      <c r="H445" s="5">
        <v>3</v>
      </c>
      <c r="I445" s="6" t="s">
        <v>1206</v>
      </c>
      <c r="J445" s="5">
        <v>460</v>
      </c>
    </row>
    <row r="446" s="2" customFormat="1" ht="27" spans="1:10">
      <c r="A446" s="6">
        <f>444</f>
        <v>444</v>
      </c>
      <c r="B446" s="6" t="s">
        <v>1207</v>
      </c>
      <c r="C446" s="6" t="s">
        <v>12</v>
      </c>
      <c r="D446" s="6" t="s">
        <v>13</v>
      </c>
      <c r="E446" s="6" t="s">
        <v>1105</v>
      </c>
      <c r="F446" s="6" t="s">
        <v>1208</v>
      </c>
      <c r="G446" s="6" t="s">
        <v>16</v>
      </c>
      <c r="H446" s="5">
        <v>4</v>
      </c>
      <c r="I446" s="6" t="s">
        <v>1209</v>
      </c>
      <c r="J446" s="5">
        <v>880</v>
      </c>
    </row>
    <row r="447" s="2" customFormat="1" spans="1:10">
      <c r="A447" s="6">
        <f>445</f>
        <v>445</v>
      </c>
      <c r="B447" s="6" t="s">
        <v>1210</v>
      </c>
      <c r="C447" s="6" t="s">
        <v>12</v>
      </c>
      <c r="D447" s="6" t="s">
        <v>13</v>
      </c>
      <c r="E447" s="6" t="s">
        <v>1105</v>
      </c>
      <c r="F447" s="6" t="s">
        <v>1211</v>
      </c>
      <c r="G447" s="6" t="s">
        <v>16</v>
      </c>
      <c r="H447" s="5">
        <v>2</v>
      </c>
      <c r="I447" s="6" t="s">
        <v>1212</v>
      </c>
      <c r="J447" s="5">
        <v>840</v>
      </c>
    </row>
    <row r="448" s="2" customFormat="1" spans="1:10">
      <c r="A448" s="6">
        <f>446</f>
        <v>446</v>
      </c>
      <c r="B448" s="6" t="s">
        <v>1213</v>
      </c>
      <c r="C448" s="6" t="s">
        <v>12</v>
      </c>
      <c r="D448" s="6" t="s">
        <v>13</v>
      </c>
      <c r="E448" s="6" t="s">
        <v>1214</v>
      </c>
      <c r="F448" s="6" t="s">
        <v>1215</v>
      </c>
      <c r="G448" s="6" t="s">
        <v>16</v>
      </c>
      <c r="H448" s="5">
        <v>1</v>
      </c>
      <c r="I448" s="6" t="s">
        <v>1215</v>
      </c>
      <c r="J448" s="5">
        <v>470</v>
      </c>
    </row>
    <row r="449" s="2" customFormat="1" spans="1:10">
      <c r="A449" s="6">
        <f>447</f>
        <v>447</v>
      </c>
      <c r="B449" s="6" t="s">
        <v>1216</v>
      </c>
      <c r="C449" s="6" t="s">
        <v>12</v>
      </c>
      <c r="D449" s="6" t="s">
        <v>13</v>
      </c>
      <c r="E449" s="6" t="s">
        <v>1214</v>
      </c>
      <c r="F449" s="6" t="s">
        <v>1217</v>
      </c>
      <c r="G449" s="6" t="s">
        <v>16</v>
      </c>
      <c r="H449" s="5">
        <v>1</v>
      </c>
      <c r="I449" s="6" t="s">
        <v>1217</v>
      </c>
      <c r="J449" s="5">
        <v>500</v>
      </c>
    </row>
    <row r="450" s="2" customFormat="1" spans="1:10">
      <c r="A450" s="6">
        <f>448</f>
        <v>448</v>
      </c>
      <c r="B450" s="6" t="s">
        <v>1218</v>
      </c>
      <c r="C450" s="6" t="s">
        <v>12</v>
      </c>
      <c r="D450" s="6" t="s">
        <v>13</v>
      </c>
      <c r="E450" s="6" t="s">
        <v>1214</v>
      </c>
      <c r="F450" s="6" t="s">
        <v>1219</v>
      </c>
      <c r="G450" s="6" t="s">
        <v>16</v>
      </c>
      <c r="H450" s="5">
        <v>1</v>
      </c>
      <c r="I450" s="6" t="s">
        <v>1219</v>
      </c>
      <c r="J450" s="5">
        <v>620</v>
      </c>
    </row>
    <row r="451" s="2" customFormat="1" ht="27" spans="1:10">
      <c r="A451" s="6">
        <f>449</f>
        <v>449</v>
      </c>
      <c r="B451" s="6" t="s">
        <v>1220</v>
      </c>
      <c r="C451" s="6" t="s">
        <v>12</v>
      </c>
      <c r="D451" s="6" t="s">
        <v>13</v>
      </c>
      <c r="E451" s="6" t="s">
        <v>1214</v>
      </c>
      <c r="F451" s="6" t="s">
        <v>1221</v>
      </c>
      <c r="G451" s="6" t="s">
        <v>16</v>
      </c>
      <c r="H451" s="5">
        <v>4</v>
      </c>
      <c r="I451" s="6" t="s">
        <v>1222</v>
      </c>
      <c r="J451" s="5">
        <v>1040</v>
      </c>
    </row>
    <row r="452" s="2" customFormat="1" spans="1:10">
      <c r="A452" s="6">
        <f>450</f>
        <v>450</v>
      </c>
      <c r="B452" s="6" t="s">
        <v>1223</v>
      </c>
      <c r="C452" s="6" t="s">
        <v>12</v>
      </c>
      <c r="D452" s="6" t="s">
        <v>13</v>
      </c>
      <c r="E452" s="6" t="s">
        <v>1214</v>
      </c>
      <c r="F452" s="6" t="s">
        <v>1224</v>
      </c>
      <c r="G452" s="6" t="s">
        <v>16</v>
      </c>
      <c r="H452" s="5">
        <v>3</v>
      </c>
      <c r="I452" s="6" t="s">
        <v>1225</v>
      </c>
      <c r="J452" s="5">
        <v>860</v>
      </c>
    </row>
    <row r="453" s="2" customFormat="1" spans="1:10">
      <c r="A453" s="6">
        <f>451</f>
        <v>451</v>
      </c>
      <c r="B453" s="6" t="s">
        <v>1226</v>
      </c>
      <c r="C453" s="6" t="s">
        <v>12</v>
      </c>
      <c r="D453" s="6" t="s">
        <v>13</v>
      </c>
      <c r="E453" s="6" t="s">
        <v>1214</v>
      </c>
      <c r="F453" s="6" t="s">
        <v>1227</v>
      </c>
      <c r="G453" s="6" t="s">
        <v>16</v>
      </c>
      <c r="H453" s="5">
        <v>3</v>
      </c>
      <c r="I453" s="6" t="s">
        <v>1228</v>
      </c>
      <c r="J453" s="5">
        <v>1120</v>
      </c>
    </row>
    <row r="454" s="2" customFormat="1" ht="27" spans="1:10">
      <c r="A454" s="6">
        <f>452</f>
        <v>452</v>
      </c>
      <c r="B454" s="6" t="s">
        <v>1229</v>
      </c>
      <c r="C454" s="6" t="s">
        <v>12</v>
      </c>
      <c r="D454" s="6" t="s">
        <v>13</v>
      </c>
      <c r="E454" s="6" t="s">
        <v>1214</v>
      </c>
      <c r="F454" s="6" t="s">
        <v>1230</v>
      </c>
      <c r="G454" s="6" t="s">
        <v>16</v>
      </c>
      <c r="H454" s="5">
        <v>4</v>
      </c>
      <c r="I454" s="6" t="s">
        <v>1231</v>
      </c>
      <c r="J454" s="5">
        <v>840</v>
      </c>
    </row>
    <row r="455" s="2" customFormat="1" ht="40.5" spans="1:10">
      <c r="A455" s="6">
        <f>453</f>
        <v>453</v>
      </c>
      <c r="B455" s="6" t="s">
        <v>1232</v>
      </c>
      <c r="C455" s="6" t="s">
        <v>12</v>
      </c>
      <c r="D455" s="6" t="s">
        <v>13</v>
      </c>
      <c r="E455" s="6" t="s">
        <v>1214</v>
      </c>
      <c r="F455" s="6" t="s">
        <v>1233</v>
      </c>
      <c r="G455" s="6" t="s">
        <v>16</v>
      </c>
      <c r="H455" s="5">
        <v>7</v>
      </c>
      <c r="I455" s="6" t="s">
        <v>1234</v>
      </c>
      <c r="J455" s="5">
        <v>1520</v>
      </c>
    </row>
    <row r="456" s="2" customFormat="1" spans="1:10">
      <c r="A456" s="6">
        <f>454</f>
        <v>454</v>
      </c>
      <c r="B456" s="6" t="s">
        <v>1235</v>
      </c>
      <c r="C456" s="6" t="s">
        <v>12</v>
      </c>
      <c r="D456" s="6" t="s">
        <v>13</v>
      </c>
      <c r="E456" s="6" t="s">
        <v>1214</v>
      </c>
      <c r="F456" s="6" t="s">
        <v>1045</v>
      </c>
      <c r="G456" s="6" t="s">
        <v>16</v>
      </c>
      <c r="H456" s="5">
        <v>3</v>
      </c>
      <c r="I456" s="6" t="s">
        <v>1236</v>
      </c>
      <c r="J456" s="5">
        <v>1200</v>
      </c>
    </row>
    <row r="457" s="2" customFormat="1" spans="1:10">
      <c r="A457" s="6">
        <f>455</f>
        <v>455</v>
      </c>
      <c r="B457" s="6" t="s">
        <v>1237</v>
      </c>
      <c r="C457" s="6" t="s">
        <v>12</v>
      </c>
      <c r="D457" s="6" t="s">
        <v>13</v>
      </c>
      <c r="E457" s="6" t="s">
        <v>1214</v>
      </c>
      <c r="F457" s="6" t="s">
        <v>1238</v>
      </c>
      <c r="G457" s="6" t="s">
        <v>16</v>
      </c>
      <c r="H457" s="5">
        <v>2</v>
      </c>
      <c r="I457" s="6" t="s">
        <v>1239</v>
      </c>
      <c r="J457" s="5">
        <v>474</v>
      </c>
    </row>
    <row r="458" s="2" customFormat="1" spans="1:10">
      <c r="A458" s="6">
        <f>456</f>
        <v>456</v>
      </c>
      <c r="B458" s="6" t="s">
        <v>1240</v>
      </c>
      <c r="C458" s="6" t="s">
        <v>12</v>
      </c>
      <c r="D458" s="6" t="s">
        <v>13</v>
      </c>
      <c r="E458" s="6" t="s">
        <v>1214</v>
      </c>
      <c r="F458" s="6" t="s">
        <v>1241</v>
      </c>
      <c r="G458" s="6" t="s">
        <v>16</v>
      </c>
      <c r="H458" s="5">
        <v>1</v>
      </c>
      <c r="I458" s="6" t="s">
        <v>1241</v>
      </c>
      <c r="J458" s="5">
        <v>440</v>
      </c>
    </row>
    <row r="459" s="2" customFormat="1" spans="1:10">
      <c r="A459" s="6">
        <f>457</f>
        <v>457</v>
      </c>
      <c r="B459" s="6" t="s">
        <v>1242</v>
      </c>
      <c r="C459" s="6" t="s">
        <v>12</v>
      </c>
      <c r="D459" s="6" t="s">
        <v>13</v>
      </c>
      <c r="E459" s="6" t="s">
        <v>1214</v>
      </c>
      <c r="F459" s="6" t="s">
        <v>1243</v>
      </c>
      <c r="G459" s="6" t="s">
        <v>16</v>
      </c>
      <c r="H459" s="5">
        <v>2</v>
      </c>
      <c r="I459" s="6" t="s">
        <v>1244</v>
      </c>
      <c r="J459" s="5">
        <v>367</v>
      </c>
    </row>
    <row r="460" s="2" customFormat="1" spans="1:10">
      <c r="A460" s="6">
        <f>458</f>
        <v>458</v>
      </c>
      <c r="B460" s="6" t="s">
        <v>1245</v>
      </c>
      <c r="C460" s="6" t="s">
        <v>12</v>
      </c>
      <c r="D460" s="6" t="s">
        <v>13</v>
      </c>
      <c r="E460" s="6" t="s">
        <v>1214</v>
      </c>
      <c r="F460" s="6" t="s">
        <v>1246</v>
      </c>
      <c r="G460" s="6" t="s">
        <v>16</v>
      </c>
      <c r="H460" s="5">
        <v>1</v>
      </c>
      <c r="I460" s="6" t="s">
        <v>1246</v>
      </c>
      <c r="J460" s="5">
        <v>360</v>
      </c>
    </row>
    <row r="461" s="2" customFormat="1" spans="1:10">
      <c r="A461" s="6">
        <f>459</f>
        <v>459</v>
      </c>
      <c r="B461" s="6" t="s">
        <v>1247</v>
      </c>
      <c r="C461" s="6" t="s">
        <v>12</v>
      </c>
      <c r="D461" s="6" t="s">
        <v>13</v>
      </c>
      <c r="E461" s="6" t="s">
        <v>1214</v>
      </c>
      <c r="F461" s="6" t="s">
        <v>1248</v>
      </c>
      <c r="G461" s="6" t="s">
        <v>16</v>
      </c>
      <c r="H461" s="5">
        <v>2</v>
      </c>
      <c r="I461" s="6" t="s">
        <v>1249</v>
      </c>
      <c r="J461" s="5">
        <v>980</v>
      </c>
    </row>
    <row r="462" s="2" customFormat="1" ht="27" spans="1:10">
      <c r="A462" s="6">
        <f>460</f>
        <v>460</v>
      </c>
      <c r="B462" s="6" t="s">
        <v>1250</v>
      </c>
      <c r="C462" s="6" t="s">
        <v>12</v>
      </c>
      <c r="D462" s="6" t="s">
        <v>13</v>
      </c>
      <c r="E462" s="6" t="s">
        <v>1214</v>
      </c>
      <c r="F462" s="6" t="s">
        <v>1251</v>
      </c>
      <c r="G462" s="6" t="s">
        <v>16</v>
      </c>
      <c r="H462" s="5">
        <v>4</v>
      </c>
      <c r="I462" s="6" t="s">
        <v>1252</v>
      </c>
      <c r="J462" s="5">
        <v>1960</v>
      </c>
    </row>
    <row r="463" s="2" customFormat="1" spans="1:10">
      <c r="A463" s="6">
        <f>461</f>
        <v>461</v>
      </c>
      <c r="B463" s="6" t="s">
        <v>1253</v>
      </c>
      <c r="C463" s="6" t="s">
        <v>12</v>
      </c>
      <c r="D463" s="6" t="s">
        <v>13</v>
      </c>
      <c r="E463" s="6" t="s">
        <v>1214</v>
      </c>
      <c r="F463" s="6" t="s">
        <v>1254</v>
      </c>
      <c r="G463" s="6" t="s">
        <v>16</v>
      </c>
      <c r="H463" s="5">
        <v>2</v>
      </c>
      <c r="I463" s="6" t="s">
        <v>1255</v>
      </c>
      <c r="J463" s="5">
        <v>574</v>
      </c>
    </row>
    <row r="464" s="2" customFormat="1" spans="1:10">
      <c r="A464" s="6">
        <f>462</f>
        <v>462</v>
      </c>
      <c r="B464" s="6" t="s">
        <v>1256</v>
      </c>
      <c r="C464" s="6" t="s">
        <v>12</v>
      </c>
      <c r="D464" s="6" t="s">
        <v>13</v>
      </c>
      <c r="E464" s="6" t="s">
        <v>1214</v>
      </c>
      <c r="F464" s="6" t="s">
        <v>1257</v>
      </c>
      <c r="G464" s="6" t="s">
        <v>16</v>
      </c>
      <c r="H464" s="5">
        <v>1</v>
      </c>
      <c r="I464" s="6" t="s">
        <v>1257</v>
      </c>
      <c r="J464" s="5">
        <v>260</v>
      </c>
    </row>
    <row r="465" s="2" customFormat="1" spans="1:10">
      <c r="A465" s="6">
        <f>463</f>
        <v>463</v>
      </c>
      <c r="B465" s="6" t="s">
        <v>1258</v>
      </c>
      <c r="C465" s="6" t="s">
        <v>12</v>
      </c>
      <c r="D465" s="6" t="s">
        <v>13</v>
      </c>
      <c r="E465" s="6" t="s">
        <v>1214</v>
      </c>
      <c r="F465" s="6" t="s">
        <v>1259</v>
      </c>
      <c r="G465" s="6" t="s">
        <v>16</v>
      </c>
      <c r="H465" s="5">
        <v>1</v>
      </c>
      <c r="I465" s="6" t="s">
        <v>1259</v>
      </c>
      <c r="J465" s="5">
        <v>210</v>
      </c>
    </row>
    <row r="466" s="2" customFormat="1" spans="1:10">
      <c r="A466" s="6">
        <f>464</f>
        <v>464</v>
      </c>
      <c r="B466" s="6" t="s">
        <v>1260</v>
      </c>
      <c r="C466" s="6" t="s">
        <v>12</v>
      </c>
      <c r="D466" s="6" t="s">
        <v>13</v>
      </c>
      <c r="E466" s="6" t="s">
        <v>1214</v>
      </c>
      <c r="F466" s="6" t="s">
        <v>1261</v>
      </c>
      <c r="G466" s="6" t="s">
        <v>16</v>
      </c>
      <c r="H466" s="5">
        <v>1</v>
      </c>
      <c r="I466" s="6" t="s">
        <v>1261</v>
      </c>
      <c r="J466" s="5">
        <v>323</v>
      </c>
    </row>
    <row r="467" s="2" customFormat="1" ht="27" spans="1:10">
      <c r="A467" s="6">
        <f>465</f>
        <v>465</v>
      </c>
      <c r="B467" s="6" t="s">
        <v>1262</v>
      </c>
      <c r="C467" s="6" t="s">
        <v>12</v>
      </c>
      <c r="D467" s="6" t="s">
        <v>13</v>
      </c>
      <c r="E467" s="6" t="s">
        <v>1214</v>
      </c>
      <c r="F467" s="6" t="s">
        <v>1263</v>
      </c>
      <c r="G467" s="6" t="s">
        <v>16</v>
      </c>
      <c r="H467" s="5">
        <v>5</v>
      </c>
      <c r="I467" s="6" t="s">
        <v>1264</v>
      </c>
      <c r="J467" s="5">
        <v>950</v>
      </c>
    </row>
    <row r="468" s="2" customFormat="1" spans="1:10">
      <c r="A468" s="6">
        <f>466</f>
        <v>466</v>
      </c>
      <c r="B468" s="6" t="s">
        <v>1265</v>
      </c>
      <c r="C468" s="6" t="s">
        <v>12</v>
      </c>
      <c r="D468" s="6" t="s">
        <v>13</v>
      </c>
      <c r="E468" s="6" t="s">
        <v>1214</v>
      </c>
      <c r="F468" s="6" t="s">
        <v>1266</v>
      </c>
      <c r="G468" s="6" t="s">
        <v>16</v>
      </c>
      <c r="H468" s="5">
        <v>1</v>
      </c>
      <c r="I468" s="6" t="s">
        <v>1266</v>
      </c>
      <c r="J468" s="5">
        <v>432</v>
      </c>
    </row>
    <row r="469" s="2" customFormat="1" spans="1:10">
      <c r="A469" s="6">
        <f>467</f>
        <v>467</v>
      </c>
      <c r="B469" s="6" t="s">
        <v>1267</v>
      </c>
      <c r="C469" s="6" t="s">
        <v>12</v>
      </c>
      <c r="D469" s="6" t="s">
        <v>13</v>
      </c>
      <c r="E469" s="6" t="s">
        <v>1214</v>
      </c>
      <c r="F469" s="6" t="s">
        <v>1268</v>
      </c>
      <c r="G469" s="6" t="s">
        <v>16</v>
      </c>
      <c r="H469" s="5">
        <v>1</v>
      </c>
      <c r="I469" s="6" t="s">
        <v>1268</v>
      </c>
      <c r="J469" s="5">
        <v>345</v>
      </c>
    </row>
    <row r="470" s="2" customFormat="1" spans="1:10">
      <c r="A470" s="6">
        <f>468</f>
        <v>468</v>
      </c>
      <c r="B470" s="6" t="s">
        <v>1269</v>
      </c>
      <c r="C470" s="6" t="s">
        <v>12</v>
      </c>
      <c r="D470" s="6" t="s">
        <v>13</v>
      </c>
      <c r="E470" s="6" t="s">
        <v>1214</v>
      </c>
      <c r="F470" s="6" t="s">
        <v>1270</v>
      </c>
      <c r="G470" s="6" t="s">
        <v>16</v>
      </c>
      <c r="H470" s="5">
        <v>1</v>
      </c>
      <c r="I470" s="6" t="s">
        <v>1270</v>
      </c>
      <c r="J470" s="5">
        <v>520</v>
      </c>
    </row>
    <row r="471" s="2" customFormat="1" spans="1:10">
      <c r="A471" s="6">
        <f>469</f>
        <v>469</v>
      </c>
      <c r="B471" s="6" t="s">
        <v>1271</v>
      </c>
      <c r="C471" s="6" t="s">
        <v>12</v>
      </c>
      <c r="D471" s="6" t="s">
        <v>13</v>
      </c>
      <c r="E471" s="6" t="s">
        <v>1214</v>
      </c>
      <c r="F471" s="6" t="s">
        <v>1272</v>
      </c>
      <c r="G471" s="6" t="s">
        <v>16</v>
      </c>
      <c r="H471" s="5">
        <v>3</v>
      </c>
      <c r="I471" s="6" t="s">
        <v>1273</v>
      </c>
      <c r="J471" s="5">
        <v>1240</v>
      </c>
    </row>
    <row r="472" s="2" customFormat="1" spans="1:10">
      <c r="A472" s="6">
        <f>470</f>
        <v>470</v>
      </c>
      <c r="B472" s="6" t="s">
        <v>1274</v>
      </c>
      <c r="C472" s="6" t="s">
        <v>12</v>
      </c>
      <c r="D472" s="6" t="s">
        <v>13</v>
      </c>
      <c r="E472" s="6" t="s">
        <v>1214</v>
      </c>
      <c r="F472" s="6" t="s">
        <v>1275</v>
      </c>
      <c r="G472" s="6" t="s">
        <v>16</v>
      </c>
      <c r="H472" s="5">
        <v>3</v>
      </c>
      <c r="I472" s="6" t="s">
        <v>1276</v>
      </c>
      <c r="J472" s="5">
        <v>490</v>
      </c>
    </row>
    <row r="473" s="2" customFormat="1" spans="1:10">
      <c r="A473" s="6">
        <f>471</f>
        <v>471</v>
      </c>
      <c r="B473" s="6" t="s">
        <v>1277</v>
      </c>
      <c r="C473" s="6" t="s">
        <v>12</v>
      </c>
      <c r="D473" s="6" t="s">
        <v>13</v>
      </c>
      <c r="E473" s="6" t="s">
        <v>1214</v>
      </c>
      <c r="F473" s="6" t="s">
        <v>1278</v>
      </c>
      <c r="G473" s="6" t="s">
        <v>16</v>
      </c>
      <c r="H473" s="5">
        <v>1</v>
      </c>
      <c r="I473" s="6" t="s">
        <v>1278</v>
      </c>
      <c r="J473" s="5">
        <v>500</v>
      </c>
    </row>
    <row r="474" s="2" customFormat="1" spans="1:10">
      <c r="A474" s="6">
        <f>472</f>
        <v>472</v>
      </c>
      <c r="B474" s="6" t="s">
        <v>1279</v>
      </c>
      <c r="C474" s="6" t="s">
        <v>12</v>
      </c>
      <c r="D474" s="6" t="s">
        <v>13</v>
      </c>
      <c r="E474" s="6" t="s">
        <v>1214</v>
      </c>
      <c r="F474" s="6" t="s">
        <v>1280</v>
      </c>
      <c r="G474" s="6" t="s">
        <v>16</v>
      </c>
      <c r="H474" s="5">
        <v>1</v>
      </c>
      <c r="I474" s="6" t="s">
        <v>1280</v>
      </c>
      <c r="J474" s="5">
        <v>484</v>
      </c>
    </row>
    <row r="475" s="2" customFormat="1" spans="1:10">
      <c r="A475" s="6">
        <f>473</f>
        <v>473</v>
      </c>
      <c r="B475" s="6" t="s">
        <v>1281</v>
      </c>
      <c r="C475" s="6" t="s">
        <v>12</v>
      </c>
      <c r="D475" s="6" t="s">
        <v>13</v>
      </c>
      <c r="E475" s="6" t="s">
        <v>1214</v>
      </c>
      <c r="F475" s="6" t="s">
        <v>1282</v>
      </c>
      <c r="G475" s="6" t="s">
        <v>16</v>
      </c>
      <c r="H475" s="5">
        <v>2</v>
      </c>
      <c r="I475" s="6" t="s">
        <v>1283</v>
      </c>
      <c r="J475" s="5">
        <v>1080</v>
      </c>
    </row>
    <row r="476" s="2" customFormat="1" ht="27" spans="1:10">
      <c r="A476" s="6">
        <f>474</f>
        <v>474</v>
      </c>
      <c r="B476" s="6" t="s">
        <v>1284</v>
      </c>
      <c r="C476" s="6" t="s">
        <v>12</v>
      </c>
      <c r="D476" s="6" t="s">
        <v>13</v>
      </c>
      <c r="E476" s="6" t="s">
        <v>1214</v>
      </c>
      <c r="F476" s="6" t="s">
        <v>1285</v>
      </c>
      <c r="G476" s="6" t="s">
        <v>16</v>
      </c>
      <c r="H476" s="5">
        <v>4</v>
      </c>
      <c r="I476" s="6" t="s">
        <v>1286</v>
      </c>
      <c r="J476" s="5">
        <v>1960</v>
      </c>
    </row>
    <row r="477" s="2" customFormat="1" spans="1:10">
      <c r="A477" s="6">
        <f>475</f>
        <v>475</v>
      </c>
      <c r="B477" s="6" t="s">
        <v>1287</v>
      </c>
      <c r="C477" s="6" t="s">
        <v>12</v>
      </c>
      <c r="D477" s="6" t="s">
        <v>13</v>
      </c>
      <c r="E477" s="6" t="s">
        <v>1214</v>
      </c>
      <c r="F477" s="6" t="s">
        <v>1288</v>
      </c>
      <c r="G477" s="6" t="s">
        <v>16</v>
      </c>
      <c r="H477" s="5">
        <v>2</v>
      </c>
      <c r="I477" s="6" t="s">
        <v>1289</v>
      </c>
      <c r="J477" s="5">
        <v>490</v>
      </c>
    </row>
    <row r="478" s="2" customFormat="1" spans="1:10">
      <c r="A478" s="6">
        <f>476</f>
        <v>476</v>
      </c>
      <c r="B478" s="6" t="s">
        <v>1290</v>
      </c>
      <c r="C478" s="6" t="s">
        <v>12</v>
      </c>
      <c r="D478" s="6" t="s">
        <v>13</v>
      </c>
      <c r="E478" s="6" t="s">
        <v>1214</v>
      </c>
      <c r="F478" s="6" t="s">
        <v>1291</v>
      </c>
      <c r="G478" s="6" t="s">
        <v>16</v>
      </c>
      <c r="H478" s="5">
        <v>2</v>
      </c>
      <c r="I478" s="6" t="s">
        <v>1292</v>
      </c>
      <c r="J478" s="5">
        <v>594</v>
      </c>
    </row>
    <row r="479" s="2" customFormat="1" spans="1:10">
      <c r="A479" s="6">
        <f>477</f>
        <v>477</v>
      </c>
      <c r="B479" s="6" t="s">
        <v>1293</v>
      </c>
      <c r="C479" s="6" t="s">
        <v>12</v>
      </c>
      <c r="D479" s="6" t="s">
        <v>13</v>
      </c>
      <c r="E479" s="6" t="s">
        <v>1214</v>
      </c>
      <c r="F479" s="6" t="s">
        <v>1294</v>
      </c>
      <c r="G479" s="6" t="s">
        <v>16</v>
      </c>
      <c r="H479" s="5">
        <v>1</v>
      </c>
      <c r="I479" s="6" t="s">
        <v>1294</v>
      </c>
      <c r="J479" s="5">
        <v>500</v>
      </c>
    </row>
    <row r="480" s="2" customFormat="1" spans="1:10">
      <c r="A480" s="6">
        <f>478</f>
        <v>478</v>
      </c>
      <c r="B480" s="6" t="s">
        <v>1295</v>
      </c>
      <c r="C480" s="6" t="s">
        <v>12</v>
      </c>
      <c r="D480" s="6" t="s">
        <v>13</v>
      </c>
      <c r="E480" s="6" t="s">
        <v>1214</v>
      </c>
      <c r="F480" s="6" t="s">
        <v>1296</v>
      </c>
      <c r="G480" s="6" t="s">
        <v>16</v>
      </c>
      <c r="H480" s="5">
        <v>1</v>
      </c>
      <c r="I480" s="6" t="s">
        <v>1296</v>
      </c>
      <c r="J480" s="5">
        <v>540</v>
      </c>
    </row>
    <row r="481" s="2" customFormat="1" ht="27" spans="1:10">
      <c r="A481" s="6">
        <f>479</f>
        <v>479</v>
      </c>
      <c r="B481" s="6" t="s">
        <v>1297</v>
      </c>
      <c r="C481" s="6" t="s">
        <v>12</v>
      </c>
      <c r="D481" s="6" t="s">
        <v>13</v>
      </c>
      <c r="E481" s="6" t="s">
        <v>1298</v>
      </c>
      <c r="F481" s="6" t="s">
        <v>1299</v>
      </c>
      <c r="G481" s="6" t="s">
        <v>16</v>
      </c>
      <c r="H481" s="5">
        <v>5</v>
      </c>
      <c r="I481" s="6" t="s">
        <v>1300</v>
      </c>
      <c r="J481" s="5">
        <v>1400</v>
      </c>
    </row>
    <row r="482" s="2" customFormat="1" spans="1:10">
      <c r="A482" s="6">
        <f>480</f>
        <v>480</v>
      </c>
      <c r="B482" s="6" t="s">
        <v>1301</v>
      </c>
      <c r="C482" s="6" t="s">
        <v>12</v>
      </c>
      <c r="D482" s="6" t="s">
        <v>13</v>
      </c>
      <c r="E482" s="6" t="s">
        <v>1298</v>
      </c>
      <c r="F482" s="6" t="s">
        <v>1302</v>
      </c>
      <c r="G482" s="6" t="s">
        <v>16</v>
      </c>
      <c r="H482" s="5">
        <v>3</v>
      </c>
      <c r="I482" s="6" t="s">
        <v>1303</v>
      </c>
      <c r="J482" s="5">
        <v>950</v>
      </c>
    </row>
    <row r="483" s="2" customFormat="1" ht="27" spans="1:10">
      <c r="A483" s="6">
        <f>481</f>
        <v>481</v>
      </c>
      <c r="B483" s="6" t="s">
        <v>1304</v>
      </c>
      <c r="C483" s="6" t="s">
        <v>12</v>
      </c>
      <c r="D483" s="6" t="s">
        <v>13</v>
      </c>
      <c r="E483" s="6" t="s">
        <v>1298</v>
      </c>
      <c r="F483" s="6" t="s">
        <v>1305</v>
      </c>
      <c r="G483" s="6" t="s">
        <v>16</v>
      </c>
      <c r="H483" s="5">
        <v>4</v>
      </c>
      <c r="I483" s="6" t="s">
        <v>1306</v>
      </c>
      <c r="J483" s="5">
        <v>1040</v>
      </c>
    </row>
    <row r="484" s="2" customFormat="1" ht="27" spans="1:10">
      <c r="A484" s="6">
        <f>482</f>
        <v>482</v>
      </c>
      <c r="B484" s="6" t="s">
        <v>1307</v>
      </c>
      <c r="C484" s="6" t="s">
        <v>12</v>
      </c>
      <c r="D484" s="6" t="s">
        <v>13</v>
      </c>
      <c r="E484" s="6" t="s">
        <v>1298</v>
      </c>
      <c r="F484" s="6" t="s">
        <v>1308</v>
      </c>
      <c r="G484" s="6" t="s">
        <v>16</v>
      </c>
      <c r="H484" s="5">
        <v>4</v>
      </c>
      <c r="I484" s="6" t="s">
        <v>1309</v>
      </c>
      <c r="J484" s="5">
        <v>1440</v>
      </c>
    </row>
    <row r="485" s="2" customFormat="1" spans="1:10">
      <c r="A485" s="6">
        <f>483</f>
        <v>483</v>
      </c>
      <c r="B485" s="6" t="s">
        <v>1310</v>
      </c>
      <c r="C485" s="6" t="s">
        <v>12</v>
      </c>
      <c r="D485" s="6" t="s">
        <v>13</v>
      </c>
      <c r="E485" s="6" t="s">
        <v>1298</v>
      </c>
      <c r="F485" s="6" t="s">
        <v>1311</v>
      </c>
      <c r="G485" s="6" t="s">
        <v>16</v>
      </c>
      <c r="H485" s="5">
        <v>2</v>
      </c>
      <c r="I485" s="6" t="s">
        <v>1312</v>
      </c>
      <c r="J485" s="5">
        <v>840</v>
      </c>
    </row>
    <row r="486" s="2" customFormat="1" ht="27" spans="1:10">
      <c r="A486" s="6">
        <f>484</f>
        <v>484</v>
      </c>
      <c r="B486" s="6" t="s">
        <v>1313</v>
      </c>
      <c r="C486" s="6" t="s">
        <v>12</v>
      </c>
      <c r="D486" s="6" t="s">
        <v>13</v>
      </c>
      <c r="E486" s="6" t="s">
        <v>1298</v>
      </c>
      <c r="F486" s="6" t="s">
        <v>1314</v>
      </c>
      <c r="G486" s="6" t="s">
        <v>16</v>
      </c>
      <c r="H486" s="5">
        <v>4</v>
      </c>
      <c r="I486" s="6" t="s">
        <v>1315</v>
      </c>
      <c r="J486" s="5">
        <v>2000</v>
      </c>
    </row>
    <row r="487" s="2" customFormat="1" spans="1:10">
      <c r="A487" s="6">
        <f>485</f>
        <v>485</v>
      </c>
      <c r="B487" s="6" t="s">
        <v>1316</v>
      </c>
      <c r="C487" s="6" t="s">
        <v>12</v>
      </c>
      <c r="D487" s="6" t="s">
        <v>13</v>
      </c>
      <c r="E487" s="6" t="s">
        <v>1298</v>
      </c>
      <c r="F487" s="6" t="s">
        <v>1317</v>
      </c>
      <c r="G487" s="6" t="s">
        <v>16</v>
      </c>
      <c r="H487" s="5">
        <v>3</v>
      </c>
      <c r="I487" s="6" t="s">
        <v>1318</v>
      </c>
      <c r="J487" s="5">
        <v>1530</v>
      </c>
    </row>
    <row r="488" s="2" customFormat="1" ht="27" spans="1:10">
      <c r="A488" s="6">
        <f>486</f>
        <v>486</v>
      </c>
      <c r="B488" s="6" t="s">
        <v>1319</v>
      </c>
      <c r="C488" s="6" t="s">
        <v>12</v>
      </c>
      <c r="D488" s="6" t="s">
        <v>13</v>
      </c>
      <c r="E488" s="6" t="s">
        <v>1298</v>
      </c>
      <c r="F488" s="6" t="s">
        <v>1320</v>
      </c>
      <c r="G488" s="6" t="s">
        <v>16</v>
      </c>
      <c r="H488" s="5">
        <v>4</v>
      </c>
      <c r="I488" s="6" t="s">
        <v>1321</v>
      </c>
      <c r="J488" s="5">
        <v>1120</v>
      </c>
    </row>
    <row r="489" s="2" customFormat="1" spans="1:10">
      <c r="A489" s="6">
        <f>487</f>
        <v>487</v>
      </c>
      <c r="B489" s="6" t="s">
        <v>1322</v>
      </c>
      <c r="C489" s="6" t="s">
        <v>12</v>
      </c>
      <c r="D489" s="6" t="s">
        <v>13</v>
      </c>
      <c r="E489" s="6" t="s">
        <v>1298</v>
      </c>
      <c r="F489" s="6" t="s">
        <v>1323</v>
      </c>
      <c r="G489" s="6" t="s">
        <v>16</v>
      </c>
      <c r="H489" s="5">
        <v>1</v>
      </c>
      <c r="I489" s="6" t="s">
        <v>1323</v>
      </c>
      <c r="J489" s="5">
        <v>260</v>
      </c>
    </row>
    <row r="490" s="2" customFormat="1" ht="27" spans="1:10">
      <c r="A490" s="6">
        <f>488</f>
        <v>488</v>
      </c>
      <c r="B490" s="6" t="s">
        <v>1324</v>
      </c>
      <c r="C490" s="6" t="s">
        <v>12</v>
      </c>
      <c r="D490" s="6" t="s">
        <v>13</v>
      </c>
      <c r="E490" s="6" t="s">
        <v>1298</v>
      </c>
      <c r="F490" s="6" t="s">
        <v>1325</v>
      </c>
      <c r="G490" s="6" t="s">
        <v>16</v>
      </c>
      <c r="H490" s="5">
        <v>4</v>
      </c>
      <c r="I490" s="6" t="s">
        <v>1326</v>
      </c>
      <c r="J490" s="5">
        <v>2000</v>
      </c>
    </row>
    <row r="491" s="2" customFormat="1" ht="27" spans="1:10">
      <c r="A491" s="6">
        <f>489</f>
        <v>489</v>
      </c>
      <c r="B491" s="6" t="s">
        <v>1327</v>
      </c>
      <c r="C491" s="6" t="s">
        <v>12</v>
      </c>
      <c r="D491" s="6" t="s">
        <v>13</v>
      </c>
      <c r="E491" s="6" t="s">
        <v>1298</v>
      </c>
      <c r="F491" s="6" t="s">
        <v>1328</v>
      </c>
      <c r="G491" s="6" t="s">
        <v>16</v>
      </c>
      <c r="H491" s="5">
        <v>6</v>
      </c>
      <c r="I491" s="6" t="s">
        <v>1329</v>
      </c>
      <c r="J491" s="5">
        <v>1200</v>
      </c>
    </row>
    <row r="492" s="2" customFormat="1" ht="27" spans="1:10">
      <c r="A492" s="6">
        <f>490</f>
        <v>490</v>
      </c>
      <c r="B492" s="6" t="s">
        <v>1330</v>
      </c>
      <c r="C492" s="6" t="s">
        <v>12</v>
      </c>
      <c r="D492" s="6" t="s">
        <v>13</v>
      </c>
      <c r="E492" s="6" t="s">
        <v>1298</v>
      </c>
      <c r="F492" s="6" t="s">
        <v>1331</v>
      </c>
      <c r="G492" s="6" t="s">
        <v>16</v>
      </c>
      <c r="H492" s="5">
        <v>4</v>
      </c>
      <c r="I492" s="6" t="s">
        <v>1332</v>
      </c>
      <c r="J492" s="5">
        <v>1040</v>
      </c>
    </row>
    <row r="493" s="2" customFormat="1" spans="1:10">
      <c r="A493" s="6">
        <f>491</f>
        <v>491</v>
      </c>
      <c r="B493" s="6" t="s">
        <v>1333</v>
      </c>
      <c r="C493" s="6" t="s">
        <v>12</v>
      </c>
      <c r="D493" s="6" t="s">
        <v>13</v>
      </c>
      <c r="E493" s="6" t="s">
        <v>1298</v>
      </c>
      <c r="F493" s="6" t="s">
        <v>1334</v>
      </c>
      <c r="G493" s="6" t="s">
        <v>16</v>
      </c>
      <c r="H493" s="5">
        <v>3</v>
      </c>
      <c r="I493" s="6" t="s">
        <v>1335</v>
      </c>
      <c r="J493" s="5">
        <v>780</v>
      </c>
    </row>
    <row r="494" s="2" customFormat="1" ht="27" spans="1:10">
      <c r="A494" s="6">
        <f>492</f>
        <v>492</v>
      </c>
      <c r="B494" s="6" t="s">
        <v>1336</v>
      </c>
      <c r="C494" s="6" t="s">
        <v>12</v>
      </c>
      <c r="D494" s="6" t="s">
        <v>13</v>
      </c>
      <c r="E494" s="6" t="s">
        <v>1298</v>
      </c>
      <c r="F494" s="6" t="s">
        <v>1337</v>
      </c>
      <c r="G494" s="6" t="s">
        <v>16</v>
      </c>
      <c r="H494" s="5">
        <v>4</v>
      </c>
      <c r="I494" s="6" t="s">
        <v>1338</v>
      </c>
      <c r="J494" s="5">
        <v>1040</v>
      </c>
    </row>
    <row r="495" s="2" customFormat="1" ht="27" spans="1:10">
      <c r="A495" s="6">
        <f>493</f>
        <v>493</v>
      </c>
      <c r="B495" s="6" t="s">
        <v>1339</v>
      </c>
      <c r="C495" s="6" t="s">
        <v>12</v>
      </c>
      <c r="D495" s="6" t="s">
        <v>13</v>
      </c>
      <c r="E495" s="6" t="s">
        <v>1298</v>
      </c>
      <c r="F495" s="6" t="s">
        <v>1340</v>
      </c>
      <c r="G495" s="6" t="s">
        <v>16</v>
      </c>
      <c r="H495" s="5">
        <v>4</v>
      </c>
      <c r="I495" s="6" t="s">
        <v>1341</v>
      </c>
      <c r="J495" s="5">
        <v>720</v>
      </c>
    </row>
    <row r="496" s="2" customFormat="1" spans="1:10">
      <c r="A496" s="6">
        <f>494</f>
        <v>494</v>
      </c>
      <c r="B496" s="6" t="s">
        <v>1342</v>
      </c>
      <c r="C496" s="6" t="s">
        <v>12</v>
      </c>
      <c r="D496" s="6" t="s">
        <v>13</v>
      </c>
      <c r="E496" s="6" t="s">
        <v>1298</v>
      </c>
      <c r="F496" s="6" t="s">
        <v>1343</v>
      </c>
      <c r="G496" s="6" t="s">
        <v>16</v>
      </c>
      <c r="H496" s="5">
        <v>2</v>
      </c>
      <c r="I496" s="6" t="s">
        <v>1344</v>
      </c>
      <c r="J496" s="5">
        <v>820</v>
      </c>
    </row>
    <row r="497" s="2" customFormat="1" spans="1:10">
      <c r="A497" s="6">
        <f>495</f>
        <v>495</v>
      </c>
      <c r="B497" s="6" t="s">
        <v>1345</v>
      </c>
      <c r="C497" s="6" t="s">
        <v>12</v>
      </c>
      <c r="D497" s="6" t="s">
        <v>13</v>
      </c>
      <c r="E497" s="6" t="s">
        <v>1298</v>
      </c>
      <c r="F497" s="6" t="s">
        <v>1346</v>
      </c>
      <c r="G497" s="6" t="s">
        <v>16</v>
      </c>
      <c r="H497" s="5">
        <v>3</v>
      </c>
      <c r="I497" s="6" t="s">
        <v>1347</v>
      </c>
      <c r="J497" s="5">
        <v>1230</v>
      </c>
    </row>
    <row r="498" s="2" customFormat="1" spans="1:10">
      <c r="A498" s="6">
        <f>496</f>
        <v>496</v>
      </c>
      <c r="B498" s="6" t="s">
        <v>1348</v>
      </c>
      <c r="C498" s="6" t="s">
        <v>12</v>
      </c>
      <c r="D498" s="6" t="s">
        <v>13</v>
      </c>
      <c r="E498" s="6" t="s">
        <v>1298</v>
      </c>
      <c r="F498" s="6" t="s">
        <v>1349</v>
      </c>
      <c r="G498" s="6" t="s">
        <v>16</v>
      </c>
      <c r="H498" s="5">
        <v>3</v>
      </c>
      <c r="I498" s="6" t="s">
        <v>1350</v>
      </c>
      <c r="J498" s="5">
        <v>720</v>
      </c>
    </row>
    <row r="499" s="2" customFormat="1" spans="1:10">
      <c r="A499" s="6">
        <f>497</f>
        <v>497</v>
      </c>
      <c r="B499" s="6" t="s">
        <v>1351</v>
      </c>
      <c r="C499" s="6" t="s">
        <v>12</v>
      </c>
      <c r="D499" s="6" t="s">
        <v>13</v>
      </c>
      <c r="E499" s="6" t="s">
        <v>1298</v>
      </c>
      <c r="F499" s="6" t="s">
        <v>1352</v>
      </c>
      <c r="G499" s="6" t="s">
        <v>16</v>
      </c>
      <c r="H499" s="5">
        <v>2</v>
      </c>
      <c r="I499" s="6" t="s">
        <v>1353</v>
      </c>
      <c r="J499" s="5">
        <v>740</v>
      </c>
    </row>
    <row r="500" s="2" customFormat="1" spans="1:10">
      <c r="A500" s="6">
        <f>498</f>
        <v>498</v>
      </c>
      <c r="B500" s="6" t="s">
        <v>1354</v>
      </c>
      <c r="C500" s="6" t="s">
        <v>12</v>
      </c>
      <c r="D500" s="6" t="s">
        <v>13</v>
      </c>
      <c r="E500" s="6" t="s">
        <v>1298</v>
      </c>
      <c r="F500" s="6" t="s">
        <v>1355</v>
      </c>
      <c r="G500" s="6" t="s">
        <v>16</v>
      </c>
      <c r="H500" s="5">
        <v>1</v>
      </c>
      <c r="I500" s="6" t="s">
        <v>1355</v>
      </c>
      <c r="J500" s="5">
        <v>410</v>
      </c>
    </row>
    <row r="501" s="2" customFormat="1" spans="1:10">
      <c r="A501" s="6">
        <f>499</f>
        <v>499</v>
      </c>
      <c r="B501" s="6" t="s">
        <v>1356</v>
      </c>
      <c r="C501" s="6" t="s">
        <v>12</v>
      </c>
      <c r="D501" s="6" t="s">
        <v>13</v>
      </c>
      <c r="E501" s="6" t="s">
        <v>1298</v>
      </c>
      <c r="F501" s="6" t="s">
        <v>1357</v>
      </c>
      <c r="G501" s="6" t="s">
        <v>16</v>
      </c>
      <c r="H501" s="5">
        <v>3</v>
      </c>
      <c r="I501" s="6" t="s">
        <v>1358</v>
      </c>
      <c r="J501" s="5">
        <v>1080</v>
      </c>
    </row>
    <row r="502" s="2" customFormat="1" spans="1:10">
      <c r="A502" s="6">
        <f>500</f>
        <v>500</v>
      </c>
      <c r="B502" s="6" t="s">
        <v>1359</v>
      </c>
      <c r="C502" s="6" t="s">
        <v>12</v>
      </c>
      <c r="D502" s="6" t="s">
        <v>13</v>
      </c>
      <c r="E502" s="6" t="s">
        <v>1298</v>
      </c>
      <c r="F502" s="6" t="s">
        <v>1360</v>
      </c>
      <c r="G502" s="6" t="s">
        <v>16</v>
      </c>
      <c r="H502" s="5">
        <v>1</v>
      </c>
      <c r="I502" s="6" t="s">
        <v>1360</v>
      </c>
      <c r="J502" s="5">
        <v>540</v>
      </c>
    </row>
    <row r="503" s="2" customFormat="1" spans="1:10">
      <c r="A503" s="6">
        <f>501</f>
        <v>501</v>
      </c>
      <c r="B503" s="6" t="s">
        <v>1361</v>
      </c>
      <c r="C503" s="6" t="s">
        <v>12</v>
      </c>
      <c r="D503" s="6" t="s">
        <v>13</v>
      </c>
      <c r="E503" s="6" t="s">
        <v>1298</v>
      </c>
      <c r="F503" s="6" t="s">
        <v>1362</v>
      </c>
      <c r="G503" s="6" t="s">
        <v>16</v>
      </c>
      <c r="H503" s="5">
        <v>1</v>
      </c>
      <c r="I503" s="6" t="s">
        <v>1362</v>
      </c>
      <c r="J503" s="5">
        <v>310</v>
      </c>
    </row>
    <row r="504" s="2" customFormat="1" spans="1:10">
      <c r="A504" s="6">
        <f>502</f>
        <v>502</v>
      </c>
      <c r="B504" s="6" t="s">
        <v>1363</v>
      </c>
      <c r="C504" s="6" t="s">
        <v>12</v>
      </c>
      <c r="D504" s="6" t="s">
        <v>13</v>
      </c>
      <c r="E504" s="6" t="s">
        <v>1298</v>
      </c>
      <c r="F504" s="6" t="s">
        <v>1364</v>
      </c>
      <c r="G504" s="6" t="s">
        <v>16</v>
      </c>
      <c r="H504" s="5">
        <v>2</v>
      </c>
      <c r="I504" s="6" t="s">
        <v>1365</v>
      </c>
      <c r="J504" s="5">
        <v>820</v>
      </c>
    </row>
    <row r="505" s="2" customFormat="1" spans="1:10">
      <c r="A505" s="6">
        <f>503</f>
        <v>503</v>
      </c>
      <c r="B505" s="6" t="s">
        <v>1366</v>
      </c>
      <c r="C505" s="6" t="s">
        <v>12</v>
      </c>
      <c r="D505" s="6" t="s">
        <v>13</v>
      </c>
      <c r="E505" s="6" t="s">
        <v>1298</v>
      </c>
      <c r="F505" s="6" t="s">
        <v>1367</v>
      </c>
      <c r="G505" s="6" t="s">
        <v>16</v>
      </c>
      <c r="H505" s="5">
        <v>2</v>
      </c>
      <c r="I505" s="6" t="s">
        <v>1368</v>
      </c>
      <c r="J505" s="5">
        <v>780</v>
      </c>
    </row>
    <row r="506" s="2" customFormat="1" spans="1:10">
      <c r="A506" s="6">
        <f>504</f>
        <v>504</v>
      </c>
      <c r="B506" s="6" t="s">
        <v>1369</v>
      </c>
      <c r="C506" s="6" t="s">
        <v>12</v>
      </c>
      <c r="D506" s="6" t="s">
        <v>13</v>
      </c>
      <c r="E506" s="6" t="s">
        <v>1298</v>
      </c>
      <c r="F506" s="6" t="s">
        <v>1370</v>
      </c>
      <c r="G506" s="6" t="s">
        <v>16</v>
      </c>
      <c r="H506" s="5">
        <v>1</v>
      </c>
      <c r="I506" s="6" t="s">
        <v>1370</v>
      </c>
      <c r="J506" s="5">
        <v>460</v>
      </c>
    </row>
    <row r="507" s="2" customFormat="1" spans="1:10">
      <c r="A507" s="6">
        <f>505</f>
        <v>505</v>
      </c>
      <c r="B507" s="6" t="s">
        <v>1371</v>
      </c>
      <c r="C507" s="6" t="s">
        <v>12</v>
      </c>
      <c r="D507" s="6" t="s">
        <v>13</v>
      </c>
      <c r="E507" s="6" t="s">
        <v>1298</v>
      </c>
      <c r="F507" s="6" t="s">
        <v>1372</v>
      </c>
      <c r="G507" s="6" t="s">
        <v>16</v>
      </c>
      <c r="H507" s="5">
        <v>3</v>
      </c>
      <c r="I507" s="6" t="s">
        <v>1373</v>
      </c>
      <c r="J507" s="5">
        <v>1260</v>
      </c>
    </row>
    <row r="508" s="2" customFormat="1" spans="1:10">
      <c r="A508" s="6">
        <f>506</f>
        <v>506</v>
      </c>
      <c r="B508" s="6" t="s">
        <v>1374</v>
      </c>
      <c r="C508" s="6" t="s">
        <v>12</v>
      </c>
      <c r="D508" s="6" t="s">
        <v>13</v>
      </c>
      <c r="E508" s="6" t="s">
        <v>1298</v>
      </c>
      <c r="F508" s="6" t="s">
        <v>1375</v>
      </c>
      <c r="G508" s="6" t="s">
        <v>16</v>
      </c>
      <c r="H508" s="5">
        <v>2</v>
      </c>
      <c r="I508" s="6" t="s">
        <v>1376</v>
      </c>
      <c r="J508" s="5">
        <v>600</v>
      </c>
    </row>
    <row r="509" s="2" customFormat="1" spans="1:10">
      <c r="A509" s="6">
        <f>507</f>
        <v>507</v>
      </c>
      <c r="B509" s="6" t="s">
        <v>1377</v>
      </c>
      <c r="C509" s="6" t="s">
        <v>12</v>
      </c>
      <c r="D509" s="6" t="s">
        <v>13</v>
      </c>
      <c r="E509" s="6" t="s">
        <v>1298</v>
      </c>
      <c r="F509" s="6" t="s">
        <v>1378</v>
      </c>
      <c r="G509" s="6" t="s">
        <v>16</v>
      </c>
      <c r="H509" s="5">
        <v>2</v>
      </c>
      <c r="I509" s="6" t="s">
        <v>1379</v>
      </c>
      <c r="J509" s="5">
        <v>1000</v>
      </c>
    </row>
    <row r="510" s="2" customFormat="1" ht="27" spans="1:10">
      <c r="A510" s="6">
        <f>508</f>
        <v>508</v>
      </c>
      <c r="B510" s="6" t="s">
        <v>1380</v>
      </c>
      <c r="C510" s="6" t="s">
        <v>12</v>
      </c>
      <c r="D510" s="6" t="s">
        <v>13</v>
      </c>
      <c r="E510" s="6" t="s">
        <v>1381</v>
      </c>
      <c r="F510" s="6" t="s">
        <v>1382</v>
      </c>
      <c r="G510" s="6" t="s">
        <v>16</v>
      </c>
      <c r="H510" s="5">
        <v>5</v>
      </c>
      <c r="I510" s="6" t="s">
        <v>1383</v>
      </c>
      <c r="J510" s="5">
        <v>1500</v>
      </c>
    </row>
    <row r="511" s="2" customFormat="1" spans="1:10">
      <c r="A511" s="6">
        <f>509</f>
        <v>509</v>
      </c>
      <c r="B511" s="6" t="s">
        <v>1384</v>
      </c>
      <c r="C511" s="6" t="s">
        <v>12</v>
      </c>
      <c r="D511" s="6" t="s">
        <v>13</v>
      </c>
      <c r="E511" s="6" t="s">
        <v>1381</v>
      </c>
      <c r="F511" s="6" t="s">
        <v>1385</v>
      </c>
      <c r="G511" s="6" t="s">
        <v>16</v>
      </c>
      <c r="H511" s="5">
        <v>3</v>
      </c>
      <c r="I511" s="6" t="s">
        <v>1386</v>
      </c>
      <c r="J511" s="5">
        <v>1020</v>
      </c>
    </row>
    <row r="512" s="2" customFormat="1" spans="1:10">
      <c r="A512" s="6">
        <f>510</f>
        <v>510</v>
      </c>
      <c r="B512" s="6" t="s">
        <v>1387</v>
      </c>
      <c r="C512" s="6" t="s">
        <v>12</v>
      </c>
      <c r="D512" s="6" t="s">
        <v>13</v>
      </c>
      <c r="E512" s="6" t="s">
        <v>1381</v>
      </c>
      <c r="F512" s="6" t="s">
        <v>1388</v>
      </c>
      <c r="G512" s="6" t="s">
        <v>16</v>
      </c>
      <c r="H512" s="5">
        <v>1</v>
      </c>
      <c r="I512" s="6" t="s">
        <v>1388</v>
      </c>
      <c r="J512" s="5">
        <v>573</v>
      </c>
    </row>
    <row r="513" s="2" customFormat="1" ht="27" spans="1:10">
      <c r="A513" s="6">
        <f>511</f>
        <v>511</v>
      </c>
      <c r="B513" s="6" t="s">
        <v>1389</v>
      </c>
      <c r="C513" s="6" t="s">
        <v>12</v>
      </c>
      <c r="D513" s="6" t="s">
        <v>13</v>
      </c>
      <c r="E513" s="6" t="s">
        <v>1381</v>
      </c>
      <c r="F513" s="6" t="s">
        <v>1390</v>
      </c>
      <c r="G513" s="6" t="s">
        <v>16</v>
      </c>
      <c r="H513" s="5">
        <v>4</v>
      </c>
      <c r="I513" s="6" t="s">
        <v>1391</v>
      </c>
      <c r="J513" s="5">
        <v>860</v>
      </c>
    </row>
    <row r="514" s="2" customFormat="1" spans="1:10">
      <c r="A514" s="6">
        <f>512</f>
        <v>512</v>
      </c>
      <c r="B514" s="6" t="s">
        <v>1392</v>
      </c>
      <c r="C514" s="6" t="s">
        <v>12</v>
      </c>
      <c r="D514" s="6" t="s">
        <v>13</v>
      </c>
      <c r="E514" s="6" t="s">
        <v>1381</v>
      </c>
      <c r="F514" s="6" t="s">
        <v>1393</v>
      </c>
      <c r="G514" s="6" t="s">
        <v>16</v>
      </c>
      <c r="H514" s="5">
        <v>3</v>
      </c>
      <c r="I514" s="6" t="s">
        <v>1394</v>
      </c>
      <c r="J514" s="5">
        <v>920</v>
      </c>
    </row>
    <row r="515" s="2" customFormat="1" spans="1:10">
      <c r="A515" s="6">
        <f>513</f>
        <v>513</v>
      </c>
      <c r="B515" s="6" t="s">
        <v>1395</v>
      </c>
      <c r="C515" s="6" t="s">
        <v>12</v>
      </c>
      <c r="D515" s="6" t="s">
        <v>13</v>
      </c>
      <c r="E515" s="6" t="s">
        <v>1381</v>
      </c>
      <c r="F515" s="6" t="s">
        <v>1396</v>
      </c>
      <c r="G515" s="6" t="s">
        <v>16</v>
      </c>
      <c r="H515" s="5">
        <v>1</v>
      </c>
      <c r="I515" s="6" t="s">
        <v>1396</v>
      </c>
      <c r="J515" s="5">
        <v>440</v>
      </c>
    </row>
    <row r="516" s="2" customFormat="1" ht="27" spans="1:10">
      <c r="A516" s="6">
        <f>514</f>
        <v>514</v>
      </c>
      <c r="B516" s="6" t="s">
        <v>1397</v>
      </c>
      <c r="C516" s="6" t="s">
        <v>12</v>
      </c>
      <c r="D516" s="6" t="s">
        <v>13</v>
      </c>
      <c r="E516" s="6" t="s">
        <v>1381</v>
      </c>
      <c r="F516" s="6" t="s">
        <v>1398</v>
      </c>
      <c r="G516" s="6" t="s">
        <v>16</v>
      </c>
      <c r="H516" s="5">
        <v>5</v>
      </c>
      <c r="I516" s="6" t="s">
        <v>1399</v>
      </c>
      <c r="J516" s="5">
        <v>1700</v>
      </c>
    </row>
    <row r="517" s="2" customFormat="1" spans="1:10">
      <c r="A517" s="6">
        <f>515</f>
        <v>515</v>
      </c>
      <c r="B517" s="6" t="s">
        <v>1400</v>
      </c>
      <c r="C517" s="6" t="s">
        <v>12</v>
      </c>
      <c r="D517" s="6" t="s">
        <v>13</v>
      </c>
      <c r="E517" s="6" t="s">
        <v>1381</v>
      </c>
      <c r="F517" s="6" t="s">
        <v>1401</v>
      </c>
      <c r="G517" s="6" t="s">
        <v>16</v>
      </c>
      <c r="H517" s="5">
        <v>1</v>
      </c>
      <c r="I517" s="6" t="s">
        <v>1401</v>
      </c>
      <c r="J517" s="5">
        <v>410</v>
      </c>
    </row>
    <row r="518" s="2" customFormat="1" spans="1:10">
      <c r="A518" s="6">
        <f>516</f>
        <v>516</v>
      </c>
      <c r="B518" s="6" t="s">
        <v>1402</v>
      </c>
      <c r="C518" s="6" t="s">
        <v>12</v>
      </c>
      <c r="D518" s="6" t="s">
        <v>13</v>
      </c>
      <c r="E518" s="6" t="s">
        <v>1381</v>
      </c>
      <c r="F518" s="6" t="s">
        <v>1403</v>
      </c>
      <c r="G518" s="6" t="s">
        <v>16</v>
      </c>
      <c r="H518" s="5">
        <v>3</v>
      </c>
      <c r="I518" s="6" t="s">
        <v>1404</v>
      </c>
      <c r="J518" s="5">
        <v>1020</v>
      </c>
    </row>
    <row r="519" s="2" customFormat="1" spans="1:10">
      <c r="A519" s="6">
        <f>517</f>
        <v>517</v>
      </c>
      <c r="B519" s="6" t="s">
        <v>1405</v>
      </c>
      <c r="C519" s="6" t="s">
        <v>12</v>
      </c>
      <c r="D519" s="6" t="s">
        <v>13</v>
      </c>
      <c r="E519" s="6" t="s">
        <v>1381</v>
      </c>
      <c r="F519" s="6" t="s">
        <v>1406</v>
      </c>
      <c r="G519" s="6" t="s">
        <v>16</v>
      </c>
      <c r="H519" s="5">
        <v>3</v>
      </c>
      <c r="I519" s="6" t="s">
        <v>1407</v>
      </c>
      <c r="J519" s="5">
        <v>930</v>
      </c>
    </row>
    <row r="520" s="2" customFormat="1" spans="1:10">
      <c r="A520" s="6">
        <f>518</f>
        <v>518</v>
      </c>
      <c r="B520" s="6" t="s">
        <v>1408</v>
      </c>
      <c r="C520" s="6" t="s">
        <v>12</v>
      </c>
      <c r="D520" s="6" t="s">
        <v>13</v>
      </c>
      <c r="E520" s="6" t="s">
        <v>1381</v>
      </c>
      <c r="F520" s="6" t="s">
        <v>1409</v>
      </c>
      <c r="G520" s="6" t="s">
        <v>16</v>
      </c>
      <c r="H520" s="5">
        <v>1</v>
      </c>
      <c r="I520" s="6" t="s">
        <v>1409</v>
      </c>
      <c r="J520" s="5">
        <v>420</v>
      </c>
    </row>
    <row r="521" s="2" customFormat="1" spans="1:10">
      <c r="A521" s="6">
        <f>519</f>
        <v>519</v>
      </c>
      <c r="B521" s="6" t="s">
        <v>1410</v>
      </c>
      <c r="C521" s="6" t="s">
        <v>12</v>
      </c>
      <c r="D521" s="6" t="s">
        <v>13</v>
      </c>
      <c r="E521" s="6" t="s">
        <v>1381</v>
      </c>
      <c r="F521" s="6" t="s">
        <v>1411</v>
      </c>
      <c r="G521" s="6" t="s">
        <v>16</v>
      </c>
      <c r="H521" s="5">
        <v>2</v>
      </c>
      <c r="I521" s="6" t="s">
        <v>1412</v>
      </c>
      <c r="J521" s="5">
        <v>720</v>
      </c>
    </row>
    <row r="522" s="2" customFormat="1" spans="1:10">
      <c r="A522" s="6">
        <f>520</f>
        <v>520</v>
      </c>
      <c r="B522" s="6" t="s">
        <v>1413</v>
      </c>
      <c r="C522" s="6" t="s">
        <v>12</v>
      </c>
      <c r="D522" s="6" t="s">
        <v>13</v>
      </c>
      <c r="E522" s="6" t="s">
        <v>1381</v>
      </c>
      <c r="F522" s="6" t="s">
        <v>1414</v>
      </c>
      <c r="G522" s="6" t="s">
        <v>16</v>
      </c>
      <c r="H522" s="5">
        <v>2</v>
      </c>
      <c r="I522" s="6" t="s">
        <v>1415</v>
      </c>
      <c r="J522" s="5">
        <v>1146</v>
      </c>
    </row>
    <row r="523" s="2" customFormat="1" spans="1:10">
      <c r="A523" s="6">
        <f>521</f>
        <v>521</v>
      </c>
      <c r="B523" s="6" t="s">
        <v>1416</v>
      </c>
      <c r="C523" s="6" t="s">
        <v>12</v>
      </c>
      <c r="D523" s="6" t="s">
        <v>13</v>
      </c>
      <c r="E523" s="6" t="s">
        <v>1381</v>
      </c>
      <c r="F523" s="6" t="s">
        <v>1417</v>
      </c>
      <c r="G523" s="6" t="s">
        <v>16</v>
      </c>
      <c r="H523" s="5">
        <v>1</v>
      </c>
      <c r="I523" s="6" t="s">
        <v>1417</v>
      </c>
      <c r="J523" s="5">
        <v>910</v>
      </c>
    </row>
    <row r="524" s="2" customFormat="1" spans="1:10">
      <c r="A524" s="6">
        <f>522</f>
        <v>522</v>
      </c>
      <c r="B524" s="6" t="s">
        <v>1418</v>
      </c>
      <c r="C524" s="6" t="s">
        <v>12</v>
      </c>
      <c r="D524" s="6" t="s">
        <v>13</v>
      </c>
      <c r="E524" s="6" t="s">
        <v>1381</v>
      </c>
      <c r="F524" s="6" t="s">
        <v>1419</v>
      </c>
      <c r="G524" s="6" t="s">
        <v>16</v>
      </c>
      <c r="H524" s="5">
        <v>1</v>
      </c>
      <c r="I524" s="6" t="s">
        <v>1419</v>
      </c>
      <c r="J524" s="5">
        <v>460</v>
      </c>
    </row>
    <row r="525" s="2" customFormat="1" ht="27" spans="1:10">
      <c r="A525" s="6">
        <f>523</f>
        <v>523</v>
      </c>
      <c r="B525" s="6" t="s">
        <v>1420</v>
      </c>
      <c r="C525" s="6" t="s">
        <v>12</v>
      </c>
      <c r="D525" s="6" t="s">
        <v>13</v>
      </c>
      <c r="E525" s="6" t="s">
        <v>1381</v>
      </c>
      <c r="F525" s="6" t="s">
        <v>1421</v>
      </c>
      <c r="G525" s="6" t="s">
        <v>16</v>
      </c>
      <c r="H525" s="5">
        <v>4</v>
      </c>
      <c r="I525" s="6" t="s">
        <v>1422</v>
      </c>
      <c r="J525" s="5">
        <v>880</v>
      </c>
    </row>
    <row r="526" s="2" customFormat="1" spans="1:10">
      <c r="A526" s="6">
        <f>524</f>
        <v>524</v>
      </c>
      <c r="B526" s="6" t="s">
        <v>1423</v>
      </c>
      <c r="C526" s="6" t="s">
        <v>12</v>
      </c>
      <c r="D526" s="6" t="s">
        <v>13</v>
      </c>
      <c r="E526" s="6" t="s">
        <v>1381</v>
      </c>
      <c r="F526" s="6" t="s">
        <v>1424</v>
      </c>
      <c r="G526" s="6" t="s">
        <v>16</v>
      </c>
      <c r="H526" s="5">
        <v>2</v>
      </c>
      <c r="I526" s="6" t="s">
        <v>1425</v>
      </c>
      <c r="J526" s="5">
        <v>780</v>
      </c>
    </row>
    <row r="527" s="2" customFormat="1" spans="1:10">
      <c r="A527" s="6">
        <f>525</f>
        <v>525</v>
      </c>
      <c r="B527" s="6" t="s">
        <v>1426</v>
      </c>
      <c r="C527" s="6" t="s">
        <v>12</v>
      </c>
      <c r="D527" s="6" t="s">
        <v>13</v>
      </c>
      <c r="E527" s="6" t="s">
        <v>1381</v>
      </c>
      <c r="F527" s="6" t="s">
        <v>1427</v>
      </c>
      <c r="G527" s="6" t="s">
        <v>16</v>
      </c>
      <c r="H527" s="5">
        <v>3</v>
      </c>
      <c r="I527" s="6" t="s">
        <v>1428</v>
      </c>
      <c r="J527" s="5">
        <v>810</v>
      </c>
    </row>
    <row r="528" s="2" customFormat="1" spans="1:10">
      <c r="A528" s="6">
        <f>526</f>
        <v>526</v>
      </c>
      <c r="B528" s="6" t="s">
        <v>1429</v>
      </c>
      <c r="C528" s="6" t="s">
        <v>12</v>
      </c>
      <c r="D528" s="6" t="s">
        <v>13</v>
      </c>
      <c r="E528" s="6" t="s">
        <v>1381</v>
      </c>
      <c r="F528" s="6" t="s">
        <v>34</v>
      </c>
      <c r="G528" s="6" t="s">
        <v>16</v>
      </c>
      <c r="H528" s="5">
        <v>3</v>
      </c>
      <c r="I528" s="6" t="s">
        <v>1430</v>
      </c>
      <c r="J528" s="5">
        <v>900</v>
      </c>
    </row>
    <row r="529" s="2" customFormat="1" spans="1:10">
      <c r="A529" s="6">
        <f>527</f>
        <v>527</v>
      </c>
      <c r="B529" s="6" t="s">
        <v>1431</v>
      </c>
      <c r="C529" s="6" t="s">
        <v>12</v>
      </c>
      <c r="D529" s="6" t="s">
        <v>13</v>
      </c>
      <c r="E529" s="6" t="s">
        <v>1381</v>
      </c>
      <c r="F529" s="6" t="s">
        <v>1432</v>
      </c>
      <c r="G529" s="6" t="s">
        <v>16</v>
      </c>
      <c r="H529" s="5">
        <v>1</v>
      </c>
      <c r="I529" s="6" t="s">
        <v>1432</v>
      </c>
      <c r="J529" s="5">
        <v>340</v>
      </c>
    </row>
    <row r="530" s="2" customFormat="1" ht="27" spans="1:10">
      <c r="A530" s="6">
        <f>528</f>
        <v>528</v>
      </c>
      <c r="B530" s="6" t="s">
        <v>1433</v>
      </c>
      <c r="C530" s="6" t="s">
        <v>12</v>
      </c>
      <c r="D530" s="6" t="s">
        <v>13</v>
      </c>
      <c r="E530" s="6" t="s">
        <v>1381</v>
      </c>
      <c r="F530" s="6" t="s">
        <v>1434</v>
      </c>
      <c r="G530" s="6" t="s">
        <v>16</v>
      </c>
      <c r="H530" s="5">
        <v>5</v>
      </c>
      <c r="I530" s="6" t="s">
        <v>1435</v>
      </c>
      <c r="J530" s="5">
        <v>2450</v>
      </c>
    </row>
    <row r="531" s="2" customFormat="1" spans="1:10">
      <c r="A531" s="6">
        <f>529</f>
        <v>529</v>
      </c>
      <c r="B531" s="6" t="s">
        <v>1436</v>
      </c>
      <c r="C531" s="6" t="s">
        <v>12</v>
      </c>
      <c r="D531" s="6" t="s">
        <v>13</v>
      </c>
      <c r="E531" s="6" t="s">
        <v>1381</v>
      </c>
      <c r="F531" s="6" t="s">
        <v>1437</v>
      </c>
      <c r="G531" s="6" t="s">
        <v>16</v>
      </c>
      <c r="H531" s="5">
        <v>1</v>
      </c>
      <c r="I531" s="6" t="s">
        <v>1437</v>
      </c>
      <c r="J531" s="5">
        <v>385</v>
      </c>
    </row>
    <row r="532" s="2" customFormat="1" ht="27" spans="1:10">
      <c r="A532" s="6">
        <f>530</f>
        <v>530</v>
      </c>
      <c r="B532" s="6" t="s">
        <v>1438</v>
      </c>
      <c r="C532" s="6" t="s">
        <v>12</v>
      </c>
      <c r="D532" s="6" t="s">
        <v>13</v>
      </c>
      <c r="E532" s="6" t="s">
        <v>1381</v>
      </c>
      <c r="F532" s="6" t="s">
        <v>1439</v>
      </c>
      <c r="G532" s="6" t="s">
        <v>16</v>
      </c>
      <c r="H532" s="5">
        <v>6</v>
      </c>
      <c r="I532" s="6" t="s">
        <v>1440</v>
      </c>
      <c r="J532" s="5">
        <v>2940</v>
      </c>
    </row>
    <row r="533" s="2" customFormat="1" spans="1:10">
      <c r="A533" s="6">
        <f>531</f>
        <v>531</v>
      </c>
      <c r="B533" s="6" t="s">
        <v>1441</v>
      </c>
      <c r="C533" s="6" t="s">
        <v>12</v>
      </c>
      <c r="D533" s="6" t="s">
        <v>13</v>
      </c>
      <c r="E533" s="6" t="s">
        <v>1381</v>
      </c>
      <c r="F533" s="6" t="s">
        <v>1442</v>
      </c>
      <c r="G533" s="6" t="s">
        <v>16</v>
      </c>
      <c r="H533" s="5">
        <v>1</v>
      </c>
      <c r="I533" s="6" t="s">
        <v>1442</v>
      </c>
      <c r="J533" s="5">
        <v>620</v>
      </c>
    </row>
    <row r="534" s="2" customFormat="1" spans="1:10">
      <c r="A534" s="6">
        <f>532</f>
        <v>532</v>
      </c>
      <c r="B534" s="6" t="s">
        <v>1443</v>
      </c>
      <c r="C534" s="6" t="s">
        <v>12</v>
      </c>
      <c r="D534" s="6" t="s">
        <v>13</v>
      </c>
      <c r="E534" s="6" t="s">
        <v>1381</v>
      </c>
      <c r="F534" s="6" t="s">
        <v>1444</v>
      </c>
      <c r="G534" s="6" t="s">
        <v>16</v>
      </c>
      <c r="H534" s="5">
        <v>1</v>
      </c>
      <c r="I534" s="6" t="s">
        <v>1444</v>
      </c>
      <c r="J534" s="5">
        <v>278</v>
      </c>
    </row>
    <row r="535" s="2" customFormat="1" ht="27" spans="1:10">
      <c r="A535" s="6">
        <f>533</f>
        <v>533</v>
      </c>
      <c r="B535" s="6" t="s">
        <v>1445</v>
      </c>
      <c r="C535" s="6" t="s">
        <v>12</v>
      </c>
      <c r="D535" s="6" t="s">
        <v>13</v>
      </c>
      <c r="E535" s="6" t="s">
        <v>1381</v>
      </c>
      <c r="F535" s="6" t="s">
        <v>1446</v>
      </c>
      <c r="G535" s="6" t="s">
        <v>16</v>
      </c>
      <c r="H535" s="5">
        <v>4</v>
      </c>
      <c r="I535" s="6" t="s">
        <v>1447</v>
      </c>
      <c r="J535" s="5">
        <v>1960</v>
      </c>
    </row>
    <row r="536" s="2" customFormat="1" spans="1:10">
      <c r="A536" s="6">
        <f>534</f>
        <v>534</v>
      </c>
      <c r="B536" s="6" t="s">
        <v>1448</v>
      </c>
      <c r="C536" s="6" t="s">
        <v>12</v>
      </c>
      <c r="D536" s="6" t="s">
        <v>13</v>
      </c>
      <c r="E536" s="6" t="s">
        <v>1381</v>
      </c>
      <c r="F536" s="6" t="s">
        <v>1449</v>
      </c>
      <c r="G536" s="6" t="s">
        <v>16</v>
      </c>
      <c r="H536" s="5">
        <v>1</v>
      </c>
      <c r="I536" s="6" t="s">
        <v>1449</v>
      </c>
      <c r="J536" s="5">
        <v>278</v>
      </c>
    </row>
    <row r="537" s="2" customFormat="1" spans="1:10">
      <c r="A537" s="6">
        <f>535</f>
        <v>535</v>
      </c>
      <c r="B537" s="6" t="s">
        <v>1450</v>
      </c>
      <c r="C537" s="6" t="s">
        <v>12</v>
      </c>
      <c r="D537" s="6" t="s">
        <v>13</v>
      </c>
      <c r="E537" s="6" t="s">
        <v>1381</v>
      </c>
      <c r="F537" s="6" t="s">
        <v>1451</v>
      </c>
      <c r="G537" s="6" t="s">
        <v>16</v>
      </c>
      <c r="H537" s="5">
        <v>1</v>
      </c>
      <c r="I537" s="6" t="s">
        <v>1451</v>
      </c>
      <c r="J537" s="5">
        <v>460</v>
      </c>
    </row>
    <row r="538" s="2" customFormat="1" spans="1:10">
      <c r="A538" s="6">
        <f>536</f>
        <v>536</v>
      </c>
      <c r="B538" s="6" t="s">
        <v>1452</v>
      </c>
      <c r="C538" s="6" t="s">
        <v>12</v>
      </c>
      <c r="D538" s="6" t="s">
        <v>13</v>
      </c>
      <c r="E538" s="6" t="s">
        <v>1381</v>
      </c>
      <c r="F538" s="6" t="s">
        <v>1453</v>
      </c>
      <c r="G538" s="6" t="s">
        <v>16</v>
      </c>
      <c r="H538" s="5">
        <v>2</v>
      </c>
      <c r="I538" s="6" t="s">
        <v>1454</v>
      </c>
      <c r="J538" s="5">
        <v>466</v>
      </c>
    </row>
    <row r="539" s="2" customFormat="1" spans="1:10">
      <c r="A539" s="6">
        <f>537</f>
        <v>537</v>
      </c>
      <c r="B539" s="6" t="s">
        <v>1455</v>
      </c>
      <c r="C539" s="6" t="s">
        <v>12</v>
      </c>
      <c r="D539" s="6" t="s">
        <v>13</v>
      </c>
      <c r="E539" s="6" t="s">
        <v>1381</v>
      </c>
      <c r="F539" s="6" t="s">
        <v>1456</v>
      </c>
      <c r="G539" s="6" t="s">
        <v>16</v>
      </c>
      <c r="H539" s="5">
        <v>2</v>
      </c>
      <c r="I539" s="6" t="s">
        <v>1457</v>
      </c>
      <c r="J539" s="5">
        <v>466</v>
      </c>
    </row>
    <row r="540" s="2" customFormat="1" ht="27" spans="1:10">
      <c r="A540" s="6">
        <f>538</f>
        <v>538</v>
      </c>
      <c r="B540" s="6" t="s">
        <v>1458</v>
      </c>
      <c r="C540" s="6" t="s">
        <v>12</v>
      </c>
      <c r="D540" s="6" t="s">
        <v>13</v>
      </c>
      <c r="E540" s="6" t="s">
        <v>1381</v>
      </c>
      <c r="F540" s="6" t="s">
        <v>1459</v>
      </c>
      <c r="G540" s="6" t="s">
        <v>16</v>
      </c>
      <c r="H540" s="5">
        <v>5</v>
      </c>
      <c r="I540" s="6" t="s">
        <v>1460</v>
      </c>
      <c r="J540" s="5">
        <v>2450</v>
      </c>
    </row>
    <row r="541" s="2" customFormat="1" ht="27" spans="1:10">
      <c r="A541" s="6">
        <f>539</f>
        <v>539</v>
      </c>
      <c r="B541" s="6" t="s">
        <v>1461</v>
      </c>
      <c r="C541" s="6" t="s">
        <v>12</v>
      </c>
      <c r="D541" s="6" t="s">
        <v>13</v>
      </c>
      <c r="E541" s="6" t="s">
        <v>1381</v>
      </c>
      <c r="F541" s="6" t="s">
        <v>1462</v>
      </c>
      <c r="G541" s="6" t="s">
        <v>16</v>
      </c>
      <c r="H541" s="5">
        <v>4</v>
      </c>
      <c r="I541" s="6" t="s">
        <v>1463</v>
      </c>
      <c r="J541" s="5">
        <v>780</v>
      </c>
    </row>
    <row r="542" s="2" customFormat="1" ht="27" spans="1:10">
      <c r="A542" s="6">
        <f>540</f>
        <v>540</v>
      </c>
      <c r="B542" s="6" t="s">
        <v>1464</v>
      </c>
      <c r="C542" s="6" t="s">
        <v>12</v>
      </c>
      <c r="D542" s="6" t="s">
        <v>13</v>
      </c>
      <c r="E542" s="6" t="s">
        <v>1381</v>
      </c>
      <c r="F542" s="6" t="s">
        <v>1465</v>
      </c>
      <c r="G542" s="6" t="s">
        <v>16</v>
      </c>
      <c r="H542" s="5">
        <v>4</v>
      </c>
      <c r="I542" s="6" t="s">
        <v>1466</v>
      </c>
      <c r="J542" s="5">
        <v>780</v>
      </c>
    </row>
    <row r="543" s="2" customFormat="1" ht="27" spans="1:10">
      <c r="A543" s="6">
        <f>541</f>
        <v>541</v>
      </c>
      <c r="B543" s="6" t="s">
        <v>1467</v>
      </c>
      <c r="C543" s="6" t="s">
        <v>12</v>
      </c>
      <c r="D543" s="6" t="s">
        <v>13</v>
      </c>
      <c r="E543" s="6" t="s">
        <v>1381</v>
      </c>
      <c r="F543" s="6" t="s">
        <v>1468</v>
      </c>
      <c r="G543" s="6" t="s">
        <v>16</v>
      </c>
      <c r="H543" s="5">
        <v>6</v>
      </c>
      <c r="I543" s="6" t="s">
        <v>1469</v>
      </c>
      <c r="J543" s="5">
        <v>1380</v>
      </c>
    </row>
    <row r="544" s="2" customFormat="1" ht="27" spans="1:10">
      <c r="A544" s="6">
        <f>542</f>
        <v>542</v>
      </c>
      <c r="B544" s="6" t="s">
        <v>1470</v>
      </c>
      <c r="C544" s="6" t="s">
        <v>12</v>
      </c>
      <c r="D544" s="6" t="s">
        <v>13</v>
      </c>
      <c r="E544" s="6" t="s">
        <v>1381</v>
      </c>
      <c r="F544" s="6" t="s">
        <v>1471</v>
      </c>
      <c r="G544" s="6" t="s">
        <v>16</v>
      </c>
      <c r="H544" s="5">
        <v>6</v>
      </c>
      <c r="I544" s="6" t="s">
        <v>1472</v>
      </c>
      <c r="J544" s="5">
        <v>2940</v>
      </c>
    </row>
    <row r="545" s="2" customFormat="1" ht="27" spans="1:10">
      <c r="A545" s="6">
        <f>543</f>
        <v>543</v>
      </c>
      <c r="B545" s="6" t="s">
        <v>1473</v>
      </c>
      <c r="C545" s="6" t="s">
        <v>12</v>
      </c>
      <c r="D545" s="6" t="s">
        <v>13</v>
      </c>
      <c r="E545" s="6" t="s">
        <v>1381</v>
      </c>
      <c r="F545" s="6" t="s">
        <v>1474</v>
      </c>
      <c r="G545" s="6" t="s">
        <v>16</v>
      </c>
      <c r="H545" s="5">
        <v>5</v>
      </c>
      <c r="I545" s="6" t="s">
        <v>1475</v>
      </c>
      <c r="J545" s="5">
        <v>2450</v>
      </c>
    </row>
    <row r="546" s="2" customFormat="1" spans="1:10">
      <c r="A546" s="6">
        <f>544</f>
        <v>544</v>
      </c>
      <c r="B546" s="6" t="s">
        <v>1476</v>
      </c>
      <c r="C546" s="6" t="s">
        <v>12</v>
      </c>
      <c r="D546" s="6" t="s">
        <v>13</v>
      </c>
      <c r="E546" s="6" t="s">
        <v>1381</v>
      </c>
      <c r="F546" s="6" t="s">
        <v>1477</v>
      </c>
      <c r="G546" s="6" t="s">
        <v>16</v>
      </c>
      <c r="H546" s="5">
        <v>2</v>
      </c>
      <c r="I546" s="6" t="s">
        <v>1478</v>
      </c>
      <c r="J546" s="5">
        <v>980</v>
      </c>
    </row>
    <row r="547" s="2" customFormat="1" spans="1:10">
      <c r="A547" s="6">
        <f>545</f>
        <v>545</v>
      </c>
      <c r="B547" s="6" t="s">
        <v>1479</v>
      </c>
      <c r="C547" s="6" t="s">
        <v>12</v>
      </c>
      <c r="D547" s="6" t="s">
        <v>13</v>
      </c>
      <c r="E547" s="6" t="s">
        <v>1381</v>
      </c>
      <c r="F547" s="6" t="s">
        <v>1480</v>
      </c>
      <c r="G547" s="6" t="s">
        <v>16</v>
      </c>
      <c r="H547" s="5">
        <v>3</v>
      </c>
      <c r="I547" s="6" t="s">
        <v>1481</v>
      </c>
      <c r="J547" s="5">
        <v>720</v>
      </c>
    </row>
    <row r="548" s="2" customFormat="1" spans="1:10">
      <c r="A548" s="6">
        <f>546</f>
        <v>546</v>
      </c>
      <c r="B548" s="6" t="s">
        <v>1482</v>
      </c>
      <c r="C548" s="6" t="s">
        <v>12</v>
      </c>
      <c r="D548" s="6" t="s">
        <v>13</v>
      </c>
      <c r="E548" s="6" t="s">
        <v>1381</v>
      </c>
      <c r="F548" s="6" t="s">
        <v>1483</v>
      </c>
      <c r="G548" s="6" t="s">
        <v>16</v>
      </c>
      <c r="H548" s="5">
        <v>1</v>
      </c>
      <c r="I548" s="6" t="s">
        <v>1483</v>
      </c>
      <c r="J548" s="5">
        <v>440</v>
      </c>
    </row>
    <row r="549" s="2" customFormat="1" spans="1:10">
      <c r="A549" s="6">
        <f>547</f>
        <v>547</v>
      </c>
      <c r="B549" s="6" t="s">
        <v>1484</v>
      </c>
      <c r="C549" s="6" t="s">
        <v>12</v>
      </c>
      <c r="D549" s="6" t="s">
        <v>13</v>
      </c>
      <c r="E549" s="6" t="s">
        <v>1381</v>
      </c>
      <c r="F549" s="6" t="s">
        <v>1485</v>
      </c>
      <c r="G549" s="6" t="s">
        <v>16</v>
      </c>
      <c r="H549" s="5">
        <v>1</v>
      </c>
      <c r="I549" s="6" t="s">
        <v>1485</v>
      </c>
      <c r="J549" s="5">
        <v>385</v>
      </c>
    </row>
    <row r="550" s="2" customFormat="1" spans="1:10">
      <c r="A550" s="6">
        <f>548</f>
        <v>548</v>
      </c>
      <c r="B550" s="6" t="s">
        <v>1486</v>
      </c>
      <c r="C550" s="6" t="s">
        <v>12</v>
      </c>
      <c r="D550" s="6" t="s">
        <v>13</v>
      </c>
      <c r="E550" s="6" t="s">
        <v>1381</v>
      </c>
      <c r="F550" s="6" t="s">
        <v>1487</v>
      </c>
      <c r="G550" s="6" t="s">
        <v>16</v>
      </c>
      <c r="H550" s="5">
        <v>1</v>
      </c>
      <c r="I550" s="6" t="s">
        <v>1487</v>
      </c>
      <c r="J550" s="5">
        <v>440</v>
      </c>
    </row>
    <row r="551" s="2" customFormat="1" ht="27" spans="1:10">
      <c r="A551" s="6">
        <f>549</f>
        <v>549</v>
      </c>
      <c r="B551" s="6" t="s">
        <v>1488</v>
      </c>
      <c r="C551" s="6" t="s">
        <v>12</v>
      </c>
      <c r="D551" s="6" t="s">
        <v>13</v>
      </c>
      <c r="E551" s="6" t="s">
        <v>1381</v>
      </c>
      <c r="F551" s="6" t="s">
        <v>1489</v>
      </c>
      <c r="G551" s="6" t="s">
        <v>16</v>
      </c>
      <c r="H551" s="5">
        <v>6</v>
      </c>
      <c r="I551" s="6" t="s">
        <v>1490</v>
      </c>
      <c r="J551" s="5">
        <v>1444</v>
      </c>
    </row>
    <row r="552" s="2" customFormat="1" ht="27" spans="1:10">
      <c r="A552" s="6">
        <f>550</f>
        <v>550</v>
      </c>
      <c r="B552" s="6" t="s">
        <v>1491</v>
      </c>
      <c r="C552" s="6" t="s">
        <v>12</v>
      </c>
      <c r="D552" s="6" t="s">
        <v>13</v>
      </c>
      <c r="E552" s="6" t="s">
        <v>1381</v>
      </c>
      <c r="F552" s="6" t="s">
        <v>1492</v>
      </c>
      <c r="G552" s="6" t="s">
        <v>16</v>
      </c>
      <c r="H552" s="5">
        <v>5</v>
      </c>
      <c r="I552" s="6" t="s">
        <v>1493</v>
      </c>
      <c r="J552" s="5">
        <v>2450</v>
      </c>
    </row>
    <row r="553" s="2" customFormat="1" spans="1:10">
      <c r="A553" s="6">
        <f>551</f>
        <v>551</v>
      </c>
      <c r="B553" s="6" t="s">
        <v>1494</v>
      </c>
      <c r="C553" s="6" t="s">
        <v>12</v>
      </c>
      <c r="D553" s="6" t="s">
        <v>13</v>
      </c>
      <c r="E553" s="6" t="s">
        <v>1381</v>
      </c>
      <c r="F553" s="6" t="s">
        <v>1495</v>
      </c>
      <c r="G553" s="6" t="s">
        <v>16</v>
      </c>
      <c r="H553" s="5">
        <v>2</v>
      </c>
      <c r="I553" s="6" t="s">
        <v>1496</v>
      </c>
      <c r="J553" s="5">
        <v>486</v>
      </c>
    </row>
    <row r="554" s="2" customFormat="1" spans="1:10">
      <c r="A554" s="6">
        <f>552</f>
        <v>552</v>
      </c>
      <c r="B554" s="6" t="s">
        <v>1497</v>
      </c>
      <c r="C554" s="6" t="s">
        <v>12</v>
      </c>
      <c r="D554" s="6" t="s">
        <v>13</v>
      </c>
      <c r="E554" s="6" t="s">
        <v>1381</v>
      </c>
      <c r="F554" s="6" t="s">
        <v>1498</v>
      </c>
      <c r="G554" s="6" t="s">
        <v>16</v>
      </c>
      <c r="H554" s="5">
        <v>1</v>
      </c>
      <c r="I554" s="6" t="s">
        <v>1498</v>
      </c>
      <c r="J554" s="5">
        <v>285</v>
      </c>
    </row>
    <row r="555" s="2" customFormat="1" ht="27" spans="1:10">
      <c r="A555" s="6">
        <f>553</f>
        <v>553</v>
      </c>
      <c r="B555" s="6" t="s">
        <v>1499</v>
      </c>
      <c r="C555" s="6" t="s">
        <v>12</v>
      </c>
      <c r="D555" s="6" t="s">
        <v>13</v>
      </c>
      <c r="E555" s="6" t="s">
        <v>1381</v>
      </c>
      <c r="F555" s="6" t="s">
        <v>1500</v>
      </c>
      <c r="G555" s="6" t="s">
        <v>16</v>
      </c>
      <c r="H555" s="5">
        <v>5</v>
      </c>
      <c r="I555" s="6" t="s">
        <v>1501</v>
      </c>
      <c r="J555" s="5">
        <v>2450</v>
      </c>
    </row>
    <row r="556" s="2" customFormat="1" spans="1:10">
      <c r="A556" s="6">
        <f>554</f>
        <v>554</v>
      </c>
      <c r="B556" s="6" t="s">
        <v>1502</v>
      </c>
      <c r="C556" s="6" t="s">
        <v>12</v>
      </c>
      <c r="D556" s="6" t="s">
        <v>13</v>
      </c>
      <c r="E556" s="6" t="s">
        <v>1381</v>
      </c>
      <c r="F556" s="6" t="s">
        <v>1503</v>
      </c>
      <c r="G556" s="6" t="s">
        <v>16</v>
      </c>
      <c r="H556" s="5">
        <v>2</v>
      </c>
      <c r="I556" s="6" t="s">
        <v>1504</v>
      </c>
      <c r="J556" s="5">
        <v>510</v>
      </c>
    </row>
    <row r="557" s="2" customFormat="1" ht="27" spans="1:10">
      <c r="A557" s="6">
        <f>555</f>
        <v>555</v>
      </c>
      <c r="B557" s="6" t="s">
        <v>1505</v>
      </c>
      <c r="C557" s="6" t="s">
        <v>12</v>
      </c>
      <c r="D557" s="6" t="s">
        <v>13</v>
      </c>
      <c r="E557" s="6" t="s">
        <v>1381</v>
      </c>
      <c r="F557" s="6" t="s">
        <v>1506</v>
      </c>
      <c r="G557" s="6" t="s">
        <v>16</v>
      </c>
      <c r="H557" s="5">
        <v>4</v>
      </c>
      <c r="I557" s="6" t="s">
        <v>1507</v>
      </c>
      <c r="J557" s="5">
        <v>1960</v>
      </c>
    </row>
    <row r="558" s="2" customFormat="1" spans="1:10">
      <c r="A558" s="6">
        <f>556</f>
        <v>556</v>
      </c>
      <c r="B558" s="6" t="s">
        <v>1508</v>
      </c>
      <c r="C558" s="6" t="s">
        <v>12</v>
      </c>
      <c r="D558" s="6" t="s">
        <v>13</v>
      </c>
      <c r="E558" s="6" t="s">
        <v>1381</v>
      </c>
      <c r="F558" s="6" t="s">
        <v>1509</v>
      </c>
      <c r="G558" s="6" t="s">
        <v>16</v>
      </c>
      <c r="H558" s="5">
        <v>1</v>
      </c>
      <c r="I558" s="6" t="s">
        <v>1509</v>
      </c>
      <c r="J558" s="5">
        <v>420</v>
      </c>
    </row>
    <row r="559" s="2" customFormat="1" spans="1:10">
      <c r="A559" s="6">
        <f>557</f>
        <v>557</v>
      </c>
      <c r="B559" s="6" t="s">
        <v>1510</v>
      </c>
      <c r="C559" s="6" t="s">
        <v>12</v>
      </c>
      <c r="D559" s="6" t="s">
        <v>13</v>
      </c>
      <c r="E559" s="6" t="s">
        <v>1381</v>
      </c>
      <c r="F559" s="6" t="s">
        <v>1511</v>
      </c>
      <c r="G559" s="6" t="s">
        <v>16</v>
      </c>
      <c r="H559" s="5">
        <v>2</v>
      </c>
      <c r="I559" s="6" t="s">
        <v>1512</v>
      </c>
      <c r="J559" s="5">
        <v>480</v>
      </c>
    </row>
    <row r="560" s="2" customFormat="1" spans="1:10">
      <c r="A560" s="6">
        <f>558</f>
        <v>558</v>
      </c>
      <c r="B560" s="6" t="s">
        <v>1513</v>
      </c>
      <c r="C560" s="6" t="s">
        <v>12</v>
      </c>
      <c r="D560" s="6" t="s">
        <v>13</v>
      </c>
      <c r="E560" s="6" t="s">
        <v>1381</v>
      </c>
      <c r="F560" s="6" t="s">
        <v>1514</v>
      </c>
      <c r="G560" s="6" t="s">
        <v>16</v>
      </c>
      <c r="H560" s="5">
        <v>3</v>
      </c>
      <c r="I560" s="6" t="s">
        <v>1515</v>
      </c>
      <c r="J560" s="5">
        <v>1140</v>
      </c>
    </row>
    <row r="561" s="2" customFormat="1" spans="1:10">
      <c r="A561" s="6">
        <f>559</f>
        <v>559</v>
      </c>
      <c r="B561" s="6" t="s">
        <v>1516</v>
      </c>
      <c r="C561" s="6" t="s">
        <v>12</v>
      </c>
      <c r="D561" s="6" t="s">
        <v>13</v>
      </c>
      <c r="E561" s="6" t="s">
        <v>1381</v>
      </c>
      <c r="F561" s="6" t="s">
        <v>1517</v>
      </c>
      <c r="G561" s="6" t="s">
        <v>16</v>
      </c>
      <c r="H561" s="5">
        <v>3</v>
      </c>
      <c r="I561" s="6" t="s">
        <v>1518</v>
      </c>
      <c r="J561" s="5">
        <v>1020</v>
      </c>
    </row>
    <row r="562" s="2" customFormat="1" spans="1:10">
      <c r="A562" s="6">
        <f>560</f>
        <v>560</v>
      </c>
      <c r="B562" s="6" t="s">
        <v>1519</v>
      </c>
      <c r="C562" s="6" t="s">
        <v>12</v>
      </c>
      <c r="D562" s="6" t="s">
        <v>13</v>
      </c>
      <c r="E562" s="6" t="s">
        <v>1381</v>
      </c>
      <c r="F562" s="6" t="s">
        <v>1520</v>
      </c>
      <c r="G562" s="6" t="s">
        <v>16</v>
      </c>
      <c r="H562" s="5">
        <v>1</v>
      </c>
      <c r="I562" s="6" t="s">
        <v>1520</v>
      </c>
      <c r="J562" s="5">
        <v>540</v>
      </c>
    </row>
    <row r="563" s="2" customFormat="1" ht="27" spans="1:10">
      <c r="A563" s="6">
        <f>561</f>
        <v>561</v>
      </c>
      <c r="B563" s="6" t="s">
        <v>1521</v>
      </c>
      <c r="C563" s="6" t="s">
        <v>12</v>
      </c>
      <c r="D563" s="6" t="s">
        <v>13</v>
      </c>
      <c r="E563" s="6" t="s">
        <v>1381</v>
      </c>
      <c r="F563" s="6" t="s">
        <v>1522</v>
      </c>
      <c r="G563" s="6" t="s">
        <v>16</v>
      </c>
      <c r="H563" s="5">
        <v>5</v>
      </c>
      <c r="I563" s="6" t="s">
        <v>1523</v>
      </c>
      <c r="J563" s="5">
        <v>2450</v>
      </c>
    </row>
    <row r="564" s="2" customFormat="1" spans="1:10">
      <c r="A564" s="6">
        <f>562</f>
        <v>562</v>
      </c>
      <c r="B564" s="6" t="s">
        <v>1524</v>
      </c>
      <c r="C564" s="6" t="s">
        <v>12</v>
      </c>
      <c r="D564" s="6" t="s">
        <v>13</v>
      </c>
      <c r="E564" s="6" t="s">
        <v>1381</v>
      </c>
      <c r="F564" s="6" t="s">
        <v>1525</v>
      </c>
      <c r="G564" s="6" t="s">
        <v>16</v>
      </c>
      <c r="H564" s="5">
        <v>1</v>
      </c>
      <c r="I564" s="6" t="s">
        <v>1525</v>
      </c>
      <c r="J564" s="5">
        <v>520</v>
      </c>
    </row>
    <row r="565" s="2" customFormat="1" spans="1:10">
      <c r="A565" s="6">
        <f>563</f>
        <v>563</v>
      </c>
      <c r="B565" s="6" t="s">
        <v>1526</v>
      </c>
      <c r="C565" s="6" t="s">
        <v>12</v>
      </c>
      <c r="D565" s="6" t="s">
        <v>13</v>
      </c>
      <c r="E565" s="6" t="s">
        <v>1381</v>
      </c>
      <c r="F565" s="6" t="s">
        <v>1527</v>
      </c>
      <c r="G565" s="6" t="s">
        <v>16</v>
      </c>
      <c r="H565" s="5">
        <v>2</v>
      </c>
      <c r="I565" s="6" t="s">
        <v>1528</v>
      </c>
      <c r="J565" s="5">
        <v>477</v>
      </c>
    </row>
    <row r="566" s="2" customFormat="1" ht="27" spans="1:10">
      <c r="A566" s="6">
        <f>564</f>
        <v>564</v>
      </c>
      <c r="B566" s="6" t="s">
        <v>1529</v>
      </c>
      <c r="C566" s="6" t="s">
        <v>12</v>
      </c>
      <c r="D566" s="6" t="s">
        <v>13</v>
      </c>
      <c r="E566" s="6" t="s">
        <v>1381</v>
      </c>
      <c r="F566" s="6" t="s">
        <v>31</v>
      </c>
      <c r="G566" s="6" t="s">
        <v>16</v>
      </c>
      <c r="H566" s="5">
        <v>4</v>
      </c>
      <c r="I566" s="6" t="s">
        <v>1530</v>
      </c>
      <c r="J566" s="5">
        <v>1960</v>
      </c>
    </row>
    <row r="567" s="2" customFormat="1" spans="1:10">
      <c r="A567" s="6">
        <f>565</f>
        <v>565</v>
      </c>
      <c r="B567" s="6" t="s">
        <v>1531</v>
      </c>
      <c r="C567" s="6" t="s">
        <v>12</v>
      </c>
      <c r="D567" s="6" t="s">
        <v>13</v>
      </c>
      <c r="E567" s="6" t="s">
        <v>1381</v>
      </c>
      <c r="F567" s="6" t="s">
        <v>1532</v>
      </c>
      <c r="G567" s="6" t="s">
        <v>16</v>
      </c>
      <c r="H567" s="5">
        <v>3</v>
      </c>
      <c r="I567" s="6" t="s">
        <v>1533</v>
      </c>
      <c r="J567" s="5">
        <v>960</v>
      </c>
    </row>
    <row r="568" s="2" customFormat="1" spans="1:10">
      <c r="A568" s="6">
        <f>566</f>
        <v>566</v>
      </c>
      <c r="B568" s="6" t="s">
        <v>1534</v>
      </c>
      <c r="C568" s="6" t="s">
        <v>12</v>
      </c>
      <c r="D568" s="6" t="s">
        <v>13</v>
      </c>
      <c r="E568" s="6" t="s">
        <v>1381</v>
      </c>
      <c r="F568" s="6" t="s">
        <v>1535</v>
      </c>
      <c r="G568" s="6" t="s">
        <v>16</v>
      </c>
      <c r="H568" s="5">
        <v>2</v>
      </c>
      <c r="I568" s="6" t="s">
        <v>1536</v>
      </c>
      <c r="J568" s="5">
        <v>360</v>
      </c>
    </row>
    <row r="569" s="2" customFormat="1" ht="27" spans="1:10">
      <c r="A569" s="6">
        <f>567</f>
        <v>567</v>
      </c>
      <c r="B569" s="6" t="s">
        <v>1537</v>
      </c>
      <c r="C569" s="6" t="s">
        <v>12</v>
      </c>
      <c r="D569" s="6" t="s">
        <v>13</v>
      </c>
      <c r="E569" s="6" t="s">
        <v>1381</v>
      </c>
      <c r="F569" s="6" t="s">
        <v>1538</v>
      </c>
      <c r="G569" s="6" t="s">
        <v>16</v>
      </c>
      <c r="H569" s="5">
        <v>5</v>
      </c>
      <c r="I569" s="6" t="s">
        <v>1539</v>
      </c>
      <c r="J569" s="5">
        <v>1100</v>
      </c>
    </row>
    <row r="570" s="2" customFormat="1" spans="1:10">
      <c r="A570" s="6">
        <f>568</f>
        <v>568</v>
      </c>
      <c r="B570" s="6" t="s">
        <v>1540</v>
      </c>
      <c r="C570" s="6" t="s">
        <v>12</v>
      </c>
      <c r="D570" s="6" t="s">
        <v>13</v>
      </c>
      <c r="E570" s="6" t="s">
        <v>1381</v>
      </c>
      <c r="F570" s="6" t="s">
        <v>1541</v>
      </c>
      <c r="G570" s="6" t="s">
        <v>16</v>
      </c>
      <c r="H570" s="5">
        <v>2</v>
      </c>
      <c r="I570" s="6" t="s">
        <v>1542</v>
      </c>
      <c r="J570" s="5">
        <v>980</v>
      </c>
    </row>
    <row r="571" s="2" customFormat="1" spans="1:10">
      <c r="A571" s="6">
        <f>569</f>
        <v>569</v>
      </c>
      <c r="B571" s="6" t="s">
        <v>1543</v>
      </c>
      <c r="C571" s="6" t="s">
        <v>12</v>
      </c>
      <c r="D571" s="6" t="s">
        <v>13</v>
      </c>
      <c r="E571" s="6" t="s">
        <v>1381</v>
      </c>
      <c r="F571" s="6" t="s">
        <v>1544</v>
      </c>
      <c r="G571" s="6" t="s">
        <v>16</v>
      </c>
      <c r="H571" s="5">
        <v>1</v>
      </c>
      <c r="I571" s="6" t="s">
        <v>1544</v>
      </c>
      <c r="J571" s="5">
        <v>385</v>
      </c>
    </row>
    <row r="572" s="2" customFormat="1" spans="1:10">
      <c r="A572" s="6">
        <f>570</f>
        <v>570</v>
      </c>
      <c r="B572" s="6" t="s">
        <v>1545</v>
      </c>
      <c r="C572" s="6" t="s">
        <v>12</v>
      </c>
      <c r="D572" s="6" t="s">
        <v>13</v>
      </c>
      <c r="E572" s="6" t="s">
        <v>1381</v>
      </c>
      <c r="F572" s="6" t="s">
        <v>1546</v>
      </c>
      <c r="G572" s="6" t="s">
        <v>16</v>
      </c>
      <c r="H572" s="5">
        <v>1</v>
      </c>
      <c r="I572" s="6" t="s">
        <v>1546</v>
      </c>
      <c r="J572" s="5">
        <v>248</v>
      </c>
    </row>
    <row r="573" s="2" customFormat="1" spans="1:10">
      <c r="A573" s="6">
        <f>571</f>
        <v>571</v>
      </c>
      <c r="B573" s="6" t="s">
        <v>1547</v>
      </c>
      <c r="C573" s="6" t="s">
        <v>12</v>
      </c>
      <c r="D573" s="6" t="s">
        <v>13</v>
      </c>
      <c r="E573" s="6" t="s">
        <v>1381</v>
      </c>
      <c r="F573" s="6" t="s">
        <v>1548</v>
      </c>
      <c r="G573" s="6" t="s">
        <v>16</v>
      </c>
      <c r="H573" s="5">
        <v>3</v>
      </c>
      <c r="I573" s="6" t="s">
        <v>1549</v>
      </c>
      <c r="J573" s="5">
        <v>1470</v>
      </c>
    </row>
    <row r="574" s="2" customFormat="1" spans="1:10">
      <c r="A574" s="6">
        <f>572</f>
        <v>572</v>
      </c>
      <c r="B574" s="6" t="s">
        <v>1550</v>
      </c>
      <c r="C574" s="6" t="s">
        <v>12</v>
      </c>
      <c r="D574" s="6" t="s">
        <v>13</v>
      </c>
      <c r="E574" s="6" t="s">
        <v>1381</v>
      </c>
      <c r="F574" s="6" t="s">
        <v>1551</v>
      </c>
      <c r="G574" s="6" t="s">
        <v>16</v>
      </c>
      <c r="H574" s="5">
        <v>2</v>
      </c>
      <c r="I574" s="6" t="s">
        <v>1552</v>
      </c>
      <c r="J574" s="5">
        <v>660</v>
      </c>
    </row>
    <row r="575" s="2" customFormat="1" ht="27" spans="1:10">
      <c r="A575" s="6">
        <f>573</f>
        <v>573</v>
      </c>
      <c r="B575" s="6" t="s">
        <v>1553</v>
      </c>
      <c r="C575" s="6" t="s">
        <v>12</v>
      </c>
      <c r="D575" s="6" t="s">
        <v>13</v>
      </c>
      <c r="E575" s="6" t="s">
        <v>1381</v>
      </c>
      <c r="F575" s="6" t="s">
        <v>1554</v>
      </c>
      <c r="G575" s="6" t="s">
        <v>16</v>
      </c>
      <c r="H575" s="5">
        <v>6</v>
      </c>
      <c r="I575" s="6" t="s">
        <v>1555</v>
      </c>
      <c r="J575" s="5">
        <v>1370</v>
      </c>
    </row>
    <row r="576" s="2" customFormat="1" spans="1:10">
      <c r="A576" s="6">
        <f>574</f>
        <v>574</v>
      </c>
      <c r="B576" s="6" t="s">
        <v>1556</v>
      </c>
      <c r="C576" s="6" t="s">
        <v>12</v>
      </c>
      <c r="D576" s="6" t="s">
        <v>13</v>
      </c>
      <c r="E576" s="6" t="s">
        <v>1381</v>
      </c>
      <c r="F576" s="6" t="s">
        <v>1557</v>
      </c>
      <c r="G576" s="6" t="s">
        <v>16</v>
      </c>
      <c r="H576" s="5">
        <v>2</v>
      </c>
      <c r="I576" s="6" t="s">
        <v>1558</v>
      </c>
      <c r="J576" s="5">
        <v>496</v>
      </c>
    </row>
    <row r="577" s="2" customFormat="1" spans="1:10">
      <c r="A577" s="6">
        <f>575</f>
        <v>575</v>
      </c>
      <c r="B577" s="6" t="s">
        <v>1559</v>
      </c>
      <c r="C577" s="6" t="s">
        <v>12</v>
      </c>
      <c r="D577" s="6" t="s">
        <v>13</v>
      </c>
      <c r="E577" s="6" t="s">
        <v>1381</v>
      </c>
      <c r="F577" s="6" t="s">
        <v>1560</v>
      </c>
      <c r="G577" s="6" t="s">
        <v>16</v>
      </c>
      <c r="H577" s="5">
        <v>3</v>
      </c>
      <c r="I577" s="6" t="s">
        <v>1561</v>
      </c>
      <c r="J577" s="5">
        <v>1130</v>
      </c>
    </row>
    <row r="578" s="2" customFormat="1" ht="27" spans="1:10">
      <c r="A578" s="6">
        <f>576</f>
        <v>576</v>
      </c>
      <c r="B578" s="6" t="s">
        <v>1562</v>
      </c>
      <c r="C578" s="6" t="s">
        <v>12</v>
      </c>
      <c r="D578" s="6" t="s">
        <v>13</v>
      </c>
      <c r="E578" s="6" t="s">
        <v>1381</v>
      </c>
      <c r="F578" s="6" t="s">
        <v>1563</v>
      </c>
      <c r="G578" s="6" t="s">
        <v>16</v>
      </c>
      <c r="H578" s="5">
        <v>4</v>
      </c>
      <c r="I578" s="6" t="s">
        <v>1564</v>
      </c>
      <c r="J578" s="5">
        <v>960</v>
      </c>
    </row>
    <row r="579" s="2" customFormat="1" ht="27" spans="1:10">
      <c r="A579" s="6">
        <f>577</f>
        <v>577</v>
      </c>
      <c r="B579" s="6" t="s">
        <v>1565</v>
      </c>
      <c r="C579" s="6" t="s">
        <v>12</v>
      </c>
      <c r="D579" s="6" t="s">
        <v>13</v>
      </c>
      <c r="E579" s="6" t="s">
        <v>1381</v>
      </c>
      <c r="F579" s="6" t="s">
        <v>1566</v>
      </c>
      <c r="G579" s="6" t="s">
        <v>16</v>
      </c>
      <c r="H579" s="5">
        <v>5</v>
      </c>
      <c r="I579" s="6" t="s">
        <v>1567</v>
      </c>
      <c r="J579" s="5">
        <v>2450</v>
      </c>
    </row>
    <row r="580" s="2" customFormat="1" spans="1:10">
      <c r="A580" s="6">
        <f>578</f>
        <v>578</v>
      </c>
      <c r="B580" s="6" t="s">
        <v>1568</v>
      </c>
      <c r="C580" s="6" t="s">
        <v>12</v>
      </c>
      <c r="D580" s="6" t="s">
        <v>13</v>
      </c>
      <c r="E580" s="6" t="s">
        <v>1381</v>
      </c>
      <c r="F580" s="6" t="s">
        <v>1569</v>
      </c>
      <c r="G580" s="6" t="s">
        <v>16</v>
      </c>
      <c r="H580" s="5">
        <v>1</v>
      </c>
      <c r="I580" s="6" t="s">
        <v>1569</v>
      </c>
      <c r="J580" s="5">
        <v>238</v>
      </c>
    </row>
    <row r="581" s="2" customFormat="1" spans="1:10">
      <c r="A581" s="6">
        <f>579</f>
        <v>579</v>
      </c>
      <c r="B581" s="6" t="s">
        <v>1570</v>
      </c>
      <c r="C581" s="6" t="s">
        <v>12</v>
      </c>
      <c r="D581" s="6" t="s">
        <v>13</v>
      </c>
      <c r="E581" s="6" t="s">
        <v>1381</v>
      </c>
      <c r="F581" s="6" t="s">
        <v>1506</v>
      </c>
      <c r="G581" s="6" t="s">
        <v>16</v>
      </c>
      <c r="H581" s="5">
        <v>3</v>
      </c>
      <c r="I581" s="6" t="s">
        <v>1571</v>
      </c>
      <c r="J581" s="5">
        <v>1470</v>
      </c>
    </row>
    <row r="582" s="2" customFormat="1" ht="27" spans="1:10">
      <c r="A582" s="6">
        <f>580</f>
        <v>580</v>
      </c>
      <c r="B582" s="6" t="s">
        <v>1572</v>
      </c>
      <c r="C582" s="6" t="s">
        <v>12</v>
      </c>
      <c r="D582" s="6" t="s">
        <v>13</v>
      </c>
      <c r="E582" s="6" t="s">
        <v>1381</v>
      </c>
      <c r="F582" s="6" t="s">
        <v>1573</v>
      </c>
      <c r="G582" s="6" t="s">
        <v>16</v>
      </c>
      <c r="H582" s="5">
        <v>4</v>
      </c>
      <c r="I582" s="6" t="s">
        <v>1574</v>
      </c>
      <c r="J582" s="5">
        <v>960</v>
      </c>
    </row>
    <row r="583" s="2" customFormat="1" spans="1:10">
      <c r="A583" s="6">
        <f>581</f>
        <v>581</v>
      </c>
      <c r="B583" s="6" t="s">
        <v>1575</v>
      </c>
      <c r="C583" s="6" t="s">
        <v>12</v>
      </c>
      <c r="D583" s="6" t="s">
        <v>13</v>
      </c>
      <c r="E583" s="6" t="s">
        <v>1381</v>
      </c>
      <c r="F583" s="6" t="s">
        <v>1576</v>
      </c>
      <c r="G583" s="6" t="s">
        <v>16</v>
      </c>
      <c r="H583" s="5">
        <v>1</v>
      </c>
      <c r="I583" s="6" t="s">
        <v>1576</v>
      </c>
      <c r="J583" s="5">
        <v>340</v>
      </c>
    </row>
    <row r="584" s="2" customFormat="1" ht="27" spans="1:10">
      <c r="A584" s="6">
        <f>582</f>
        <v>582</v>
      </c>
      <c r="B584" s="6" t="s">
        <v>1577</v>
      </c>
      <c r="C584" s="6" t="s">
        <v>12</v>
      </c>
      <c r="D584" s="6" t="s">
        <v>13</v>
      </c>
      <c r="E584" s="6" t="s">
        <v>1381</v>
      </c>
      <c r="F584" s="6" t="s">
        <v>1578</v>
      </c>
      <c r="G584" s="6" t="s">
        <v>16</v>
      </c>
      <c r="H584" s="5">
        <v>4</v>
      </c>
      <c r="I584" s="6" t="s">
        <v>1579</v>
      </c>
      <c r="J584" s="5">
        <v>1200</v>
      </c>
    </row>
    <row r="585" s="2" customFormat="1" spans="1:10">
      <c r="A585" s="6">
        <f>583</f>
        <v>583</v>
      </c>
      <c r="B585" s="6" t="s">
        <v>1580</v>
      </c>
      <c r="C585" s="6" t="s">
        <v>12</v>
      </c>
      <c r="D585" s="6" t="s">
        <v>13</v>
      </c>
      <c r="E585" s="6" t="s">
        <v>1381</v>
      </c>
      <c r="F585" s="6" t="s">
        <v>1581</v>
      </c>
      <c r="G585" s="6" t="s">
        <v>16</v>
      </c>
      <c r="H585" s="5">
        <v>2</v>
      </c>
      <c r="I585" s="6" t="s">
        <v>1582</v>
      </c>
      <c r="J585" s="5">
        <v>620</v>
      </c>
    </row>
    <row r="586" s="2" customFormat="1" spans="1:10">
      <c r="A586" s="6">
        <f>584</f>
        <v>584</v>
      </c>
      <c r="B586" s="6" t="s">
        <v>1583</v>
      </c>
      <c r="C586" s="6" t="s">
        <v>12</v>
      </c>
      <c r="D586" s="6" t="s">
        <v>13</v>
      </c>
      <c r="E586" s="6" t="s">
        <v>1381</v>
      </c>
      <c r="F586" s="6" t="s">
        <v>1584</v>
      </c>
      <c r="G586" s="6" t="s">
        <v>16</v>
      </c>
      <c r="H586" s="5">
        <v>1</v>
      </c>
      <c r="I586" s="6" t="s">
        <v>1584</v>
      </c>
      <c r="J586" s="5">
        <v>248</v>
      </c>
    </row>
    <row r="587" s="2" customFormat="1" spans="1:10">
      <c r="A587" s="6">
        <f>585</f>
        <v>585</v>
      </c>
      <c r="B587" s="6" t="s">
        <v>1585</v>
      </c>
      <c r="C587" s="6" t="s">
        <v>12</v>
      </c>
      <c r="D587" s="6" t="s">
        <v>13</v>
      </c>
      <c r="E587" s="6" t="s">
        <v>1381</v>
      </c>
      <c r="F587" s="6" t="s">
        <v>1586</v>
      </c>
      <c r="G587" s="6" t="s">
        <v>16</v>
      </c>
      <c r="H587" s="5">
        <v>1</v>
      </c>
      <c r="I587" s="6" t="s">
        <v>1586</v>
      </c>
      <c r="J587" s="5">
        <v>420</v>
      </c>
    </row>
    <row r="588" s="2" customFormat="1" ht="27" spans="1:10">
      <c r="A588" s="6">
        <f>586</f>
        <v>586</v>
      </c>
      <c r="B588" s="6" t="s">
        <v>1587</v>
      </c>
      <c r="C588" s="6" t="s">
        <v>12</v>
      </c>
      <c r="D588" s="6" t="s">
        <v>13</v>
      </c>
      <c r="E588" s="6" t="s">
        <v>1381</v>
      </c>
      <c r="F588" s="6" t="s">
        <v>1588</v>
      </c>
      <c r="G588" s="6" t="s">
        <v>16</v>
      </c>
      <c r="H588" s="5">
        <v>4</v>
      </c>
      <c r="I588" s="6" t="s">
        <v>1589</v>
      </c>
      <c r="J588" s="5">
        <v>720</v>
      </c>
    </row>
    <row r="589" s="2" customFormat="1" spans="1:10">
      <c r="A589" s="6">
        <f>587</f>
        <v>587</v>
      </c>
      <c r="B589" s="6" t="s">
        <v>1590</v>
      </c>
      <c r="C589" s="6" t="s">
        <v>12</v>
      </c>
      <c r="D589" s="6" t="s">
        <v>13</v>
      </c>
      <c r="E589" s="6" t="s">
        <v>1381</v>
      </c>
      <c r="F589" s="6" t="s">
        <v>1591</v>
      </c>
      <c r="G589" s="6" t="s">
        <v>16</v>
      </c>
      <c r="H589" s="5">
        <v>1</v>
      </c>
      <c r="I589" s="6" t="s">
        <v>1591</v>
      </c>
      <c r="J589" s="5">
        <v>490</v>
      </c>
    </row>
    <row r="590" s="2" customFormat="1" spans="1:10">
      <c r="A590" s="6">
        <f>588</f>
        <v>588</v>
      </c>
      <c r="B590" s="6" t="s">
        <v>1592</v>
      </c>
      <c r="C590" s="6" t="s">
        <v>12</v>
      </c>
      <c r="D590" s="6" t="s">
        <v>13</v>
      </c>
      <c r="E590" s="6" t="s">
        <v>1381</v>
      </c>
      <c r="F590" s="6" t="s">
        <v>1593</v>
      </c>
      <c r="G590" s="6" t="s">
        <v>16</v>
      </c>
      <c r="H590" s="5">
        <v>2</v>
      </c>
      <c r="I590" s="6" t="s">
        <v>1594</v>
      </c>
      <c r="J590" s="5">
        <v>680</v>
      </c>
    </row>
    <row r="591" s="2" customFormat="1" spans="1:10">
      <c r="A591" s="6">
        <f>589</f>
        <v>589</v>
      </c>
      <c r="B591" s="6" t="s">
        <v>1595</v>
      </c>
      <c r="C591" s="6" t="s">
        <v>12</v>
      </c>
      <c r="D591" s="6" t="s">
        <v>13</v>
      </c>
      <c r="E591" s="6" t="s">
        <v>1381</v>
      </c>
      <c r="F591" s="6" t="s">
        <v>1596</v>
      </c>
      <c r="G591" s="6" t="s">
        <v>16</v>
      </c>
      <c r="H591" s="5">
        <v>2</v>
      </c>
      <c r="I591" s="6" t="s">
        <v>1597</v>
      </c>
      <c r="J591" s="5">
        <v>556</v>
      </c>
    </row>
    <row r="592" s="2" customFormat="1" spans="1:10">
      <c r="A592" s="6">
        <f>590</f>
        <v>590</v>
      </c>
      <c r="B592" s="6" t="s">
        <v>1598</v>
      </c>
      <c r="C592" s="6" t="s">
        <v>12</v>
      </c>
      <c r="D592" s="6" t="s">
        <v>13</v>
      </c>
      <c r="E592" s="6" t="s">
        <v>1381</v>
      </c>
      <c r="F592" s="6" t="s">
        <v>1599</v>
      </c>
      <c r="G592" s="6" t="s">
        <v>16</v>
      </c>
      <c r="H592" s="5">
        <v>1</v>
      </c>
      <c r="I592" s="6" t="s">
        <v>1599</v>
      </c>
      <c r="J592" s="5">
        <v>520</v>
      </c>
    </row>
    <row r="593" s="2" customFormat="1" spans="1:10">
      <c r="A593" s="6">
        <f>591</f>
        <v>591</v>
      </c>
      <c r="B593" s="6" t="s">
        <v>1600</v>
      </c>
      <c r="C593" s="6" t="s">
        <v>12</v>
      </c>
      <c r="D593" s="6" t="s">
        <v>13</v>
      </c>
      <c r="E593" s="6" t="s">
        <v>1381</v>
      </c>
      <c r="F593" s="6" t="s">
        <v>1601</v>
      </c>
      <c r="G593" s="6" t="s">
        <v>16</v>
      </c>
      <c r="H593" s="5">
        <v>2</v>
      </c>
      <c r="I593" s="6" t="s">
        <v>1602</v>
      </c>
      <c r="J593" s="5">
        <v>466</v>
      </c>
    </row>
    <row r="594" s="2" customFormat="1" spans="1:10">
      <c r="A594" s="6">
        <f>592</f>
        <v>592</v>
      </c>
      <c r="B594" s="6" t="s">
        <v>1603</v>
      </c>
      <c r="C594" s="6" t="s">
        <v>12</v>
      </c>
      <c r="D594" s="6" t="s">
        <v>13</v>
      </c>
      <c r="E594" s="6" t="s">
        <v>1381</v>
      </c>
      <c r="F594" s="6" t="s">
        <v>1604</v>
      </c>
      <c r="G594" s="6" t="s">
        <v>16</v>
      </c>
      <c r="H594" s="5">
        <v>2</v>
      </c>
      <c r="I594" s="6" t="s">
        <v>1605</v>
      </c>
      <c r="J594" s="5">
        <v>480</v>
      </c>
    </row>
    <row r="595" s="2" customFormat="1" spans="1:10">
      <c r="A595" s="6">
        <f>593</f>
        <v>593</v>
      </c>
      <c r="B595" s="6" t="s">
        <v>1606</v>
      </c>
      <c r="C595" s="6" t="s">
        <v>12</v>
      </c>
      <c r="D595" s="6" t="s">
        <v>13</v>
      </c>
      <c r="E595" s="6" t="s">
        <v>1381</v>
      </c>
      <c r="F595" s="6" t="s">
        <v>1607</v>
      </c>
      <c r="G595" s="6" t="s">
        <v>16</v>
      </c>
      <c r="H595" s="5">
        <v>1</v>
      </c>
      <c r="I595" s="6" t="s">
        <v>1607</v>
      </c>
      <c r="J595" s="5">
        <v>240</v>
      </c>
    </row>
    <row r="596" s="2" customFormat="1" ht="27" spans="1:10">
      <c r="A596" s="6">
        <f>594</f>
        <v>594</v>
      </c>
      <c r="B596" s="6" t="s">
        <v>1608</v>
      </c>
      <c r="C596" s="6" t="s">
        <v>12</v>
      </c>
      <c r="D596" s="6" t="s">
        <v>13</v>
      </c>
      <c r="E596" s="6" t="s">
        <v>1609</v>
      </c>
      <c r="F596" s="6" t="s">
        <v>1610</v>
      </c>
      <c r="G596" s="6" t="s">
        <v>16</v>
      </c>
      <c r="H596" s="5">
        <v>4</v>
      </c>
      <c r="I596" s="6" t="s">
        <v>1611</v>
      </c>
      <c r="J596" s="5">
        <v>980</v>
      </c>
    </row>
    <row r="597" s="2" customFormat="1" spans="1:10">
      <c r="A597" s="6">
        <f>595</f>
        <v>595</v>
      </c>
      <c r="B597" s="6" t="s">
        <v>1612</v>
      </c>
      <c r="C597" s="6" t="s">
        <v>12</v>
      </c>
      <c r="D597" s="6" t="s">
        <v>13</v>
      </c>
      <c r="E597" s="6" t="s">
        <v>1609</v>
      </c>
      <c r="F597" s="6" t="s">
        <v>1613</v>
      </c>
      <c r="G597" s="6" t="s">
        <v>16</v>
      </c>
      <c r="H597" s="5">
        <v>1</v>
      </c>
      <c r="I597" s="6" t="s">
        <v>1613</v>
      </c>
      <c r="J597" s="5">
        <v>620</v>
      </c>
    </row>
    <row r="598" s="2" customFormat="1" ht="27" spans="1:10">
      <c r="A598" s="6">
        <f>596</f>
        <v>596</v>
      </c>
      <c r="B598" s="6" t="s">
        <v>1614</v>
      </c>
      <c r="C598" s="6" t="s">
        <v>12</v>
      </c>
      <c r="D598" s="6" t="s">
        <v>13</v>
      </c>
      <c r="E598" s="6" t="s">
        <v>1609</v>
      </c>
      <c r="F598" s="6" t="s">
        <v>1615</v>
      </c>
      <c r="G598" s="6" t="s">
        <v>16</v>
      </c>
      <c r="H598" s="5">
        <v>5</v>
      </c>
      <c r="I598" s="6" t="s">
        <v>1616</v>
      </c>
      <c r="J598" s="5">
        <v>1900</v>
      </c>
    </row>
    <row r="599" s="2" customFormat="1" spans="1:10">
      <c r="A599" s="6">
        <f>597</f>
        <v>597</v>
      </c>
      <c r="B599" s="6" t="s">
        <v>1617</v>
      </c>
      <c r="C599" s="6" t="s">
        <v>12</v>
      </c>
      <c r="D599" s="6" t="s">
        <v>13</v>
      </c>
      <c r="E599" s="6" t="s">
        <v>1609</v>
      </c>
      <c r="F599" s="6" t="s">
        <v>1618</v>
      </c>
      <c r="G599" s="6" t="s">
        <v>16</v>
      </c>
      <c r="H599" s="5">
        <v>2</v>
      </c>
      <c r="I599" s="6" t="s">
        <v>1619</v>
      </c>
      <c r="J599" s="5">
        <v>880</v>
      </c>
    </row>
    <row r="600" s="2" customFormat="1" spans="1:10">
      <c r="A600" s="6">
        <f>598</f>
        <v>598</v>
      </c>
      <c r="B600" s="6" t="s">
        <v>1620</v>
      </c>
      <c r="C600" s="6" t="s">
        <v>12</v>
      </c>
      <c r="D600" s="6" t="s">
        <v>13</v>
      </c>
      <c r="E600" s="6" t="s">
        <v>1609</v>
      </c>
      <c r="F600" s="6" t="s">
        <v>1621</v>
      </c>
      <c r="G600" s="6" t="s">
        <v>16</v>
      </c>
      <c r="H600" s="5">
        <v>2</v>
      </c>
      <c r="I600" s="6" t="s">
        <v>1622</v>
      </c>
      <c r="J600" s="5">
        <v>440</v>
      </c>
    </row>
    <row r="601" s="2" customFormat="1" spans="1:10">
      <c r="A601" s="6">
        <f>599</f>
        <v>599</v>
      </c>
      <c r="B601" s="6" t="s">
        <v>1623</v>
      </c>
      <c r="C601" s="6" t="s">
        <v>12</v>
      </c>
      <c r="D601" s="6" t="s">
        <v>13</v>
      </c>
      <c r="E601" s="6" t="s">
        <v>1609</v>
      </c>
      <c r="F601" s="6" t="s">
        <v>1624</v>
      </c>
      <c r="G601" s="6" t="s">
        <v>16</v>
      </c>
      <c r="H601" s="5">
        <v>2</v>
      </c>
      <c r="I601" s="6" t="s">
        <v>1625</v>
      </c>
      <c r="J601" s="5">
        <v>766</v>
      </c>
    </row>
    <row r="602" s="2" customFormat="1" spans="1:10">
      <c r="A602" s="6">
        <f>600</f>
        <v>600</v>
      </c>
      <c r="B602" s="6" t="s">
        <v>1626</v>
      </c>
      <c r="C602" s="6" t="s">
        <v>12</v>
      </c>
      <c r="D602" s="6" t="s">
        <v>13</v>
      </c>
      <c r="E602" s="6" t="s">
        <v>1609</v>
      </c>
      <c r="F602" s="6" t="s">
        <v>1627</v>
      </c>
      <c r="G602" s="6" t="s">
        <v>16</v>
      </c>
      <c r="H602" s="5">
        <v>2</v>
      </c>
      <c r="I602" s="6" t="s">
        <v>1628</v>
      </c>
      <c r="J602" s="5">
        <v>680</v>
      </c>
    </row>
    <row r="603" s="2" customFormat="1" ht="27" spans="1:10">
      <c r="A603" s="6">
        <f>601</f>
        <v>601</v>
      </c>
      <c r="B603" s="6" t="s">
        <v>1629</v>
      </c>
      <c r="C603" s="6" t="s">
        <v>12</v>
      </c>
      <c r="D603" s="6" t="s">
        <v>13</v>
      </c>
      <c r="E603" s="6" t="s">
        <v>1609</v>
      </c>
      <c r="F603" s="6" t="s">
        <v>1630</v>
      </c>
      <c r="G603" s="6" t="s">
        <v>16</v>
      </c>
      <c r="H603" s="5">
        <v>6</v>
      </c>
      <c r="I603" s="6" t="s">
        <v>1631</v>
      </c>
      <c r="J603" s="5">
        <v>2040</v>
      </c>
    </row>
    <row r="604" s="2" customFormat="1" ht="27" spans="1:10">
      <c r="A604" s="6">
        <f>602</f>
        <v>602</v>
      </c>
      <c r="B604" s="6" t="s">
        <v>1632</v>
      </c>
      <c r="C604" s="6" t="s">
        <v>12</v>
      </c>
      <c r="D604" s="6" t="s">
        <v>13</v>
      </c>
      <c r="E604" s="6" t="s">
        <v>1609</v>
      </c>
      <c r="F604" s="6" t="s">
        <v>1633</v>
      </c>
      <c r="G604" s="6" t="s">
        <v>16</v>
      </c>
      <c r="H604" s="5">
        <v>4</v>
      </c>
      <c r="I604" s="6" t="s">
        <v>1634</v>
      </c>
      <c r="J604" s="5">
        <v>2132</v>
      </c>
    </row>
    <row r="605" s="2" customFormat="1" spans="1:10">
      <c r="A605" s="6">
        <f>603</f>
        <v>603</v>
      </c>
      <c r="B605" s="6" t="s">
        <v>1635</v>
      </c>
      <c r="C605" s="6" t="s">
        <v>12</v>
      </c>
      <c r="D605" s="6" t="s">
        <v>13</v>
      </c>
      <c r="E605" s="6" t="s">
        <v>1609</v>
      </c>
      <c r="F605" s="6" t="s">
        <v>1636</v>
      </c>
      <c r="G605" s="6" t="s">
        <v>16</v>
      </c>
      <c r="H605" s="5">
        <v>2</v>
      </c>
      <c r="I605" s="6" t="s">
        <v>1637</v>
      </c>
      <c r="J605" s="5">
        <v>560</v>
      </c>
    </row>
    <row r="606" s="2" customFormat="1" ht="27" spans="1:10">
      <c r="A606" s="6">
        <f>604</f>
        <v>604</v>
      </c>
      <c r="B606" s="6" t="s">
        <v>1638</v>
      </c>
      <c r="C606" s="6" t="s">
        <v>12</v>
      </c>
      <c r="D606" s="6" t="s">
        <v>13</v>
      </c>
      <c r="E606" s="6" t="s">
        <v>1609</v>
      </c>
      <c r="F606" s="6" t="s">
        <v>1639</v>
      </c>
      <c r="G606" s="6" t="s">
        <v>16</v>
      </c>
      <c r="H606" s="5">
        <v>5</v>
      </c>
      <c r="I606" s="6" t="s">
        <v>1640</v>
      </c>
      <c r="J606" s="5">
        <v>779</v>
      </c>
    </row>
    <row r="607" s="2" customFormat="1" ht="27" spans="1:10">
      <c r="A607" s="6">
        <f>605</f>
        <v>605</v>
      </c>
      <c r="B607" s="6" t="s">
        <v>1641</v>
      </c>
      <c r="C607" s="6" t="s">
        <v>12</v>
      </c>
      <c r="D607" s="6" t="s">
        <v>13</v>
      </c>
      <c r="E607" s="6" t="s">
        <v>1609</v>
      </c>
      <c r="F607" s="6" t="s">
        <v>1642</v>
      </c>
      <c r="G607" s="6" t="s">
        <v>16</v>
      </c>
      <c r="H607" s="5">
        <v>4</v>
      </c>
      <c r="I607" s="6" t="s">
        <v>1643</v>
      </c>
      <c r="J607" s="5">
        <v>801</v>
      </c>
    </row>
    <row r="608" s="2" customFormat="1" spans="1:10">
      <c r="A608" s="6">
        <f>606</f>
        <v>606</v>
      </c>
      <c r="B608" s="6" t="s">
        <v>1644</v>
      </c>
      <c r="C608" s="6" t="s">
        <v>12</v>
      </c>
      <c r="D608" s="6" t="s">
        <v>13</v>
      </c>
      <c r="E608" s="6" t="s">
        <v>1609</v>
      </c>
      <c r="F608" s="6" t="s">
        <v>425</v>
      </c>
      <c r="G608" s="6" t="s">
        <v>16</v>
      </c>
      <c r="H608" s="5">
        <v>2</v>
      </c>
      <c r="I608" s="6" t="s">
        <v>1645</v>
      </c>
      <c r="J608" s="5">
        <v>526</v>
      </c>
    </row>
    <row r="609" s="2" customFormat="1" spans="1:10">
      <c r="A609" s="6">
        <f>607</f>
        <v>607</v>
      </c>
      <c r="B609" s="6" t="s">
        <v>1646</v>
      </c>
      <c r="C609" s="6" t="s">
        <v>12</v>
      </c>
      <c r="D609" s="6" t="s">
        <v>13</v>
      </c>
      <c r="E609" s="6" t="s">
        <v>1609</v>
      </c>
      <c r="F609" s="6" t="s">
        <v>1647</v>
      </c>
      <c r="G609" s="6" t="s">
        <v>16</v>
      </c>
      <c r="H609" s="5">
        <v>3</v>
      </c>
      <c r="I609" s="6" t="s">
        <v>1648</v>
      </c>
      <c r="J609" s="5">
        <v>710</v>
      </c>
    </row>
    <row r="610" s="2" customFormat="1" ht="27" spans="1:10">
      <c r="A610" s="6">
        <f>608</f>
        <v>608</v>
      </c>
      <c r="B610" s="6" t="s">
        <v>1649</v>
      </c>
      <c r="C610" s="6" t="s">
        <v>12</v>
      </c>
      <c r="D610" s="6" t="s">
        <v>13</v>
      </c>
      <c r="E610" s="6" t="s">
        <v>1609</v>
      </c>
      <c r="F610" s="6" t="s">
        <v>1650</v>
      </c>
      <c r="G610" s="6" t="s">
        <v>16</v>
      </c>
      <c r="H610" s="5">
        <v>4</v>
      </c>
      <c r="I610" s="6" t="s">
        <v>1651</v>
      </c>
      <c r="J610" s="5">
        <v>949</v>
      </c>
    </row>
    <row r="611" s="2" customFormat="1" spans="1:10">
      <c r="A611" s="6">
        <f>609</f>
        <v>609</v>
      </c>
      <c r="B611" s="6" t="s">
        <v>1652</v>
      </c>
      <c r="C611" s="6" t="s">
        <v>12</v>
      </c>
      <c r="D611" s="6" t="s">
        <v>13</v>
      </c>
      <c r="E611" s="6" t="s">
        <v>1609</v>
      </c>
      <c r="F611" s="6" t="s">
        <v>1653</v>
      </c>
      <c r="G611" s="6" t="s">
        <v>16</v>
      </c>
      <c r="H611" s="5">
        <v>2</v>
      </c>
      <c r="I611" s="6" t="s">
        <v>1654</v>
      </c>
      <c r="J611" s="5">
        <v>514</v>
      </c>
    </row>
    <row r="612" s="2" customFormat="1" spans="1:10">
      <c r="A612" s="6">
        <f>610</f>
        <v>610</v>
      </c>
      <c r="B612" s="6" t="s">
        <v>1655</v>
      </c>
      <c r="C612" s="6" t="s">
        <v>12</v>
      </c>
      <c r="D612" s="6" t="s">
        <v>13</v>
      </c>
      <c r="E612" s="6" t="s">
        <v>1609</v>
      </c>
      <c r="F612" s="6" t="s">
        <v>1656</v>
      </c>
      <c r="G612" s="6" t="s">
        <v>16</v>
      </c>
      <c r="H612" s="5">
        <v>1</v>
      </c>
      <c r="I612" s="6" t="s">
        <v>1656</v>
      </c>
      <c r="J612" s="5">
        <v>210</v>
      </c>
    </row>
    <row r="613" s="2" customFormat="1" spans="1:10">
      <c r="A613" s="6">
        <f>611</f>
        <v>611</v>
      </c>
      <c r="B613" s="6" t="s">
        <v>1657</v>
      </c>
      <c r="C613" s="6" t="s">
        <v>12</v>
      </c>
      <c r="D613" s="6" t="s">
        <v>13</v>
      </c>
      <c r="E613" s="6" t="s">
        <v>1609</v>
      </c>
      <c r="F613" s="6" t="s">
        <v>1658</v>
      </c>
      <c r="G613" s="6" t="s">
        <v>16</v>
      </c>
      <c r="H613" s="5">
        <v>2</v>
      </c>
      <c r="I613" s="6" t="s">
        <v>1659</v>
      </c>
      <c r="J613" s="5">
        <v>540</v>
      </c>
    </row>
    <row r="614" s="2" customFormat="1" spans="1:10">
      <c r="A614" s="6">
        <f>612</f>
        <v>612</v>
      </c>
      <c r="B614" s="6" t="s">
        <v>1660</v>
      </c>
      <c r="C614" s="6" t="s">
        <v>12</v>
      </c>
      <c r="D614" s="6" t="s">
        <v>13</v>
      </c>
      <c r="E614" s="6" t="s">
        <v>1609</v>
      </c>
      <c r="F614" s="6" t="s">
        <v>1661</v>
      </c>
      <c r="G614" s="6" t="s">
        <v>16</v>
      </c>
      <c r="H614" s="5">
        <v>1</v>
      </c>
      <c r="I614" s="6" t="s">
        <v>1661</v>
      </c>
      <c r="J614" s="5">
        <v>370</v>
      </c>
    </row>
    <row r="615" s="2" customFormat="1" spans="1:10">
      <c r="A615" s="6">
        <f>613</f>
        <v>613</v>
      </c>
      <c r="B615" s="6" t="s">
        <v>1662</v>
      </c>
      <c r="C615" s="6" t="s">
        <v>12</v>
      </c>
      <c r="D615" s="6" t="s">
        <v>13</v>
      </c>
      <c r="E615" s="6" t="s">
        <v>1609</v>
      </c>
      <c r="F615" s="6" t="s">
        <v>1663</v>
      </c>
      <c r="G615" s="6" t="s">
        <v>16</v>
      </c>
      <c r="H615" s="5">
        <v>3</v>
      </c>
      <c r="I615" s="6" t="s">
        <v>1664</v>
      </c>
      <c r="J615" s="5">
        <v>1130</v>
      </c>
    </row>
    <row r="616" s="2" customFormat="1" spans="1:10">
      <c r="A616" s="6">
        <f>614</f>
        <v>614</v>
      </c>
      <c r="B616" s="6" t="s">
        <v>1665</v>
      </c>
      <c r="C616" s="6" t="s">
        <v>12</v>
      </c>
      <c r="D616" s="6" t="s">
        <v>13</v>
      </c>
      <c r="E616" s="6" t="s">
        <v>1609</v>
      </c>
      <c r="F616" s="6" t="s">
        <v>1666</v>
      </c>
      <c r="G616" s="6" t="s">
        <v>16</v>
      </c>
      <c r="H616" s="5">
        <v>3</v>
      </c>
      <c r="I616" s="6" t="s">
        <v>1667</v>
      </c>
      <c r="J616" s="5">
        <v>600</v>
      </c>
    </row>
    <row r="617" s="2" customFormat="1" spans="1:10">
      <c r="A617" s="6">
        <f>615</f>
        <v>615</v>
      </c>
      <c r="B617" s="6" t="s">
        <v>1668</v>
      </c>
      <c r="C617" s="6" t="s">
        <v>12</v>
      </c>
      <c r="D617" s="6" t="s">
        <v>13</v>
      </c>
      <c r="E617" s="6" t="s">
        <v>1609</v>
      </c>
      <c r="F617" s="6" t="s">
        <v>1669</v>
      </c>
      <c r="G617" s="6" t="s">
        <v>16</v>
      </c>
      <c r="H617" s="5">
        <v>3</v>
      </c>
      <c r="I617" s="6" t="s">
        <v>1670</v>
      </c>
      <c r="J617" s="5">
        <v>500</v>
      </c>
    </row>
    <row r="618" s="2" customFormat="1" spans="1:10">
      <c r="A618" s="6">
        <f>616</f>
        <v>616</v>
      </c>
      <c r="B618" s="6" t="s">
        <v>1671</v>
      </c>
      <c r="C618" s="6" t="s">
        <v>12</v>
      </c>
      <c r="D618" s="6" t="s">
        <v>13</v>
      </c>
      <c r="E618" s="6" t="s">
        <v>1609</v>
      </c>
      <c r="F618" s="6" t="s">
        <v>1672</v>
      </c>
      <c r="G618" s="6" t="s">
        <v>16</v>
      </c>
      <c r="H618" s="5">
        <v>2</v>
      </c>
      <c r="I618" s="6" t="s">
        <v>1673</v>
      </c>
      <c r="J618" s="5">
        <v>520</v>
      </c>
    </row>
    <row r="619" s="2" customFormat="1" ht="27" spans="1:10">
      <c r="A619" s="6">
        <f>617</f>
        <v>617</v>
      </c>
      <c r="B619" s="6" t="s">
        <v>1674</v>
      </c>
      <c r="C619" s="6" t="s">
        <v>12</v>
      </c>
      <c r="D619" s="6" t="s">
        <v>13</v>
      </c>
      <c r="E619" s="6" t="s">
        <v>1609</v>
      </c>
      <c r="F619" s="6" t="s">
        <v>1675</v>
      </c>
      <c r="G619" s="6" t="s">
        <v>16</v>
      </c>
      <c r="H619" s="5">
        <v>4</v>
      </c>
      <c r="I619" s="6" t="s">
        <v>1676</v>
      </c>
      <c r="J619" s="5">
        <v>740</v>
      </c>
    </row>
    <row r="620" s="2" customFormat="1" spans="1:10">
      <c r="A620" s="6">
        <f>618</f>
        <v>618</v>
      </c>
      <c r="B620" s="6" t="s">
        <v>1677</v>
      </c>
      <c r="C620" s="6" t="s">
        <v>12</v>
      </c>
      <c r="D620" s="6" t="s">
        <v>13</v>
      </c>
      <c r="E620" s="6" t="s">
        <v>1609</v>
      </c>
      <c r="F620" s="6" t="s">
        <v>1678</v>
      </c>
      <c r="G620" s="6" t="s">
        <v>16</v>
      </c>
      <c r="H620" s="5">
        <v>3</v>
      </c>
      <c r="I620" s="6" t="s">
        <v>1679</v>
      </c>
      <c r="J620" s="5">
        <v>455</v>
      </c>
    </row>
    <row r="621" s="2" customFormat="1" spans="1:10">
      <c r="A621" s="6">
        <f>619</f>
        <v>619</v>
      </c>
      <c r="B621" s="6" t="s">
        <v>1680</v>
      </c>
      <c r="C621" s="6" t="s">
        <v>12</v>
      </c>
      <c r="D621" s="6" t="s">
        <v>13</v>
      </c>
      <c r="E621" s="6" t="s">
        <v>1609</v>
      </c>
      <c r="F621" s="6" t="s">
        <v>1681</v>
      </c>
      <c r="G621" s="6" t="s">
        <v>16</v>
      </c>
      <c r="H621" s="5">
        <v>3</v>
      </c>
      <c r="I621" s="6" t="s">
        <v>1682</v>
      </c>
      <c r="J621" s="5">
        <v>860</v>
      </c>
    </row>
    <row r="622" s="2" customFormat="1" ht="27" spans="1:10">
      <c r="A622" s="6">
        <f>620</f>
        <v>620</v>
      </c>
      <c r="B622" s="6" t="s">
        <v>1683</v>
      </c>
      <c r="C622" s="6" t="s">
        <v>12</v>
      </c>
      <c r="D622" s="6" t="s">
        <v>13</v>
      </c>
      <c r="E622" s="6" t="s">
        <v>1609</v>
      </c>
      <c r="F622" s="6" t="s">
        <v>1684</v>
      </c>
      <c r="G622" s="6" t="s">
        <v>16</v>
      </c>
      <c r="H622" s="5">
        <v>4</v>
      </c>
      <c r="I622" s="6" t="s">
        <v>1685</v>
      </c>
      <c r="J622" s="5">
        <v>1104</v>
      </c>
    </row>
    <row r="623" s="2" customFormat="1" spans="1:10">
      <c r="A623" s="6">
        <f>621</f>
        <v>621</v>
      </c>
      <c r="B623" s="6" t="s">
        <v>1686</v>
      </c>
      <c r="C623" s="6" t="s">
        <v>12</v>
      </c>
      <c r="D623" s="6" t="s">
        <v>13</v>
      </c>
      <c r="E623" s="6" t="s">
        <v>1609</v>
      </c>
      <c r="F623" s="6" t="s">
        <v>1687</v>
      </c>
      <c r="G623" s="6" t="s">
        <v>16</v>
      </c>
      <c r="H623" s="5">
        <v>2</v>
      </c>
      <c r="I623" s="6" t="s">
        <v>1688</v>
      </c>
      <c r="J623" s="5">
        <v>490</v>
      </c>
    </row>
    <row r="624" s="2" customFormat="1" spans="1:10">
      <c r="A624" s="6">
        <f>622</f>
        <v>622</v>
      </c>
      <c r="B624" s="6" t="s">
        <v>1689</v>
      </c>
      <c r="C624" s="6" t="s">
        <v>12</v>
      </c>
      <c r="D624" s="6" t="s">
        <v>13</v>
      </c>
      <c r="E624" s="6" t="s">
        <v>1609</v>
      </c>
      <c r="F624" s="6" t="s">
        <v>1690</v>
      </c>
      <c r="G624" s="6" t="s">
        <v>16</v>
      </c>
      <c r="H624" s="5">
        <v>2</v>
      </c>
      <c r="I624" s="6" t="s">
        <v>1691</v>
      </c>
      <c r="J624" s="5">
        <v>520</v>
      </c>
    </row>
    <row r="625" s="2" customFormat="1" spans="1:10">
      <c r="A625" s="6">
        <f>623</f>
        <v>623</v>
      </c>
      <c r="B625" s="6" t="s">
        <v>1692</v>
      </c>
      <c r="C625" s="6" t="s">
        <v>12</v>
      </c>
      <c r="D625" s="6" t="s">
        <v>13</v>
      </c>
      <c r="E625" s="6" t="s">
        <v>1609</v>
      </c>
      <c r="F625" s="6" t="s">
        <v>1693</v>
      </c>
      <c r="G625" s="6" t="s">
        <v>16</v>
      </c>
      <c r="H625" s="5">
        <v>1</v>
      </c>
      <c r="I625" s="6" t="s">
        <v>1693</v>
      </c>
      <c r="J625" s="5">
        <v>400</v>
      </c>
    </row>
    <row r="626" s="2" customFormat="1" spans="1:10">
      <c r="A626" s="6">
        <f>624</f>
        <v>624</v>
      </c>
      <c r="B626" s="6" t="s">
        <v>1694</v>
      </c>
      <c r="C626" s="6" t="s">
        <v>12</v>
      </c>
      <c r="D626" s="6" t="s">
        <v>13</v>
      </c>
      <c r="E626" s="6" t="s">
        <v>1609</v>
      </c>
      <c r="F626" s="6" t="s">
        <v>1695</v>
      </c>
      <c r="G626" s="6" t="s">
        <v>16</v>
      </c>
      <c r="H626" s="5">
        <v>2</v>
      </c>
      <c r="I626" s="6" t="s">
        <v>1696</v>
      </c>
      <c r="J626" s="5">
        <v>436</v>
      </c>
    </row>
    <row r="627" s="2" customFormat="1" spans="1:10">
      <c r="A627" s="6">
        <f>625</f>
        <v>625</v>
      </c>
      <c r="B627" s="6" t="s">
        <v>1697</v>
      </c>
      <c r="C627" s="6" t="s">
        <v>12</v>
      </c>
      <c r="D627" s="6" t="s">
        <v>13</v>
      </c>
      <c r="E627" s="6" t="s">
        <v>1609</v>
      </c>
      <c r="F627" s="6" t="s">
        <v>1698</v>
      </c>
      <c r="G627" s="6" t="s">
        <v>16</v>
      </c>
      <c r="H627" s="5">
        <v>1</v>
      </c>
      <c r="I627" s="6" t="s">
        <v>1698</v>
      </c>
      <c r="J627" s="5">
        <v>385</v>
      </c>
    </row>
    <row r="628" s="2" customFormat="1" spans="1:10">
      <c r="A628" s="6">
        <f>626</f>
        <v>626</v>
      </c>
      <c r="B628" s="6" t="s">
        <v>1699</v>
      </c>
      <c r="C628" s="6" t="s">
        <v>12</v>
      </c>
      <c r="D628" s="6" t="s">
        <v>13</v>
      </c>
      <c r="E628" s="6" t="s">
        <v>1609</v>
      </c>
      <c r="F628" s="6" t="s">
        <v>1700</v>
      </c>
      <c r="G628" s="6" t="s">
        <v>16</v>
      </c>
      <c r="H628" s="5">
        <v>2</v>
      </c>
      <c r="I628" s="6" t="s">
        <v>1701</v>
      </c>
      <c r="J628" s="5">
        <v>820</v>
      </c>
    </row>
    <row r="629" s="2" customFormat="1" spans="1:10">
      <c r="A629" s="6">
        <f>627</f>
        <v>627</v>
      </c>
      <c r="B629" s="6" t="s">
        <v>1702</v>
      </c>
      <c r="C629" s="6" t="s">
        <v>12</v>
      </c>
      <c r="D629" s="6" t="s">
        <v>13</v>
      </c>
      <c r="E629" s="6" t="s">
        <v>1609</v>
      </c>
      <c r="F629" s="6" t="s">
        <v>1703</v>
      </c>
      <c r="G629" s="6" t="s">
        <v>16</v>
      </c>
      <c r="H629" s="5">
        <v>1</v>
      </c>
      <c r="I629" s="6" t="s">
        <v>1703</v>
      </c>
      <c r="J629" s="5">
        <v>260</v>
      </c>
    </row>
    <row r="630" s="2" customFormat="1" spans="1:10">
      <c r="A630" s="6">
        <f>628</f>
        <v>628</v>
      </c>
      <c r="B630" s="6" t="s">
        <v>1704</v>
      </c>
      <c r="C630" s="6" t="s">
        <v>12</v>
      </c>
      <c r="D630" s="6" t="s">
        <v>13</v>
      </c>
      <c r="E630" s="6" t="s">
        <v>1609</v>
      </c>
      <c r="F630" s="6" t="s">
        <v>1705</v>
      </c>
      <c r="G630" s="6" t="s">
        <v>16</v>
      </c>
      <c r="H630" s="5">
        <v>2</v>
      </c>
      <c r="I630" s="6" t="s">
        <v>1706</v>
      </c>
      <c r="J630" s="5">
        <v>460</v>
      </c>
    </row>
    <row r="631" s="2" customFormat="1" spans="1:10">
      <c r="A631" s="6">
        <f>629</f>
        <v>629</v>
      </c>
      <c r="B631" s="6" t="s">
        <v>1707</v>
      </c>
      <c r="C631" s="6" t="s">
        <v>12</v>
      </c>
      <c r="D631" s="6" t="s">
        <v>13</v>
      </c>
      <c r="E631" s="6" t="s">
        <v>1609</v>
      </c>
      <c r="F631" s="6" t="s">
        <v>1708</v>
      </c>
      <c r="G631" s="6" t="s">
        <v>16</v>
      </c>
      <c r="H631" s="5">
        <v>1</v>
      </c>
      <c r="I631" s="6" t="s">
        <v>1708</v>
      </c>
      <c r="J631" s="5">
        <v>220</v>
      </c>
    </row>
    <row r="632" s="2" customFormat="1" spans="1:10">
      <c r="A632" s="6">
        <f>630</f>
        <v>630</v>
      </c>
      <c r="B632" s="6" t="s">
        <v>1709</v>
      </c>
      <c r="C632" s="6" t="s">
        <v>12</v>
      </c>
      <c r="D632" s="6" t="s">
        <v>13</v>
      </c>
      <c r="E632" s="6" t="s">
        <v>1609</v>
      </c>
      <c r="F632" s="6" t="s">
        <v>1710</v>
      </c>
      <c r="G632" s="6" t="s">
        <v>16</v>
      </c>
      <c r="H632" s="5">
        <v>3</v>
      </c>
      <c r="I632" s="6" t="s">
        <v>1711</v>
      </c>
      <c r="J632" s="5">
        <v>650</v>
      </c>
    </row>
    <row r="633" s="2" customFormat="1" spans="1:10">
      <c r="A633" s="6">
        <f>631</f>
        <v>631</v>
      </c>
      <c r="B633" s="6" t="s">
        <v>1712</v>
      </c>
      <c r="C633" s="6" t="s">
        <v>12</v>
      </c>
      <c r="D633" s="6" t="s">
        <v>13</v>
      </c>
      <c r="E633" s="6" t="s">
        <v>1609</v>
      </c>
      <c r="F633" s="6" t="s">
        <v>1713</v>
      </c>
      <c r="G633" s="6" t="s">
        <v>16</v>
      </c>
      <c r="H633" s="5">
        <v>2</v>
      </c>
      <c r="I633" s="6" t="s">
        <v>1714</v>
      </c>
      <c r="J633" s="5">
        <v>524</v>
      </c>
    </row>
    <row r="634" s="2" customFormat="1" ht="27" spans="1:10">
      <c r="A634" s="6">
        <f>632</f>
        <v>632</v>
      </c>
      <c r="B634" s="6" t="s">
        <v>1715</v>
      </c>
      <c r="C634" s="6" t="s">
        <v>12</v>
      </c>
      <c r="D634" s="6" t="s">
        <v>13</v>
      </c>
      <c r="E634" s="6" t="s">
        <v>1609</v>
      </c>
      <c r="F634" s="6" t="s">
        <v>1716</v>
      </c>
      <c r="G634" s="6" t="s">
        <v>16</v>
      </c>
      <c r="H634" s="5">
        <v>5</v>
      </c>
      <c r="I634" s="6" t="s">
        <v>1717</v>
      </c>
      <c r="J634" s="5">
        <v>1725</v>
      </c>
    </row>
    <row r="635" s="2" customFormat="1" spans="1:10">
      <c r="A635" s="6">
        <f>633</f>
        <v>633</v>
      </c>
      <c r="B635" s="6" t="s">
        <v>1718</v>
      </c>
      <c r="C635" s="6" t="s">
        <v>12</v>
      </c>
      <c r="D635" s="6" t="s">
        <v>13</v>
      </c>
      <c r="E635" s="6" t="s">
        <v>1609</v>
      </c>
      <c r="F635" s="6" t="s">
        <v>1719</v>
      </c>
      <c r="G635" s="6" t="s">
        <v>16</v>
      </c>
      <c r="H635" s="5">
        <v>1</v>
      </c>
      <c r="I635" s="6" t="s">
        <v>1719</v>
      </c>
      <c r="J635" s="5">
        <v>400</v>
      </c>
    </row>
    <row r="636" s="2" customFormat="1" ht="27" spans="1:10">
      <c r="A636" s="6">
        <f>634</f>
        <v>634</v>
      </c>
      <c r="B636" s="6" t="s">
        <v>1720</v>
      </c>
      <c r="C636" s="6" t="s">
        <v>12</v>
      </c>
      <c r="D636" s="6" t="s">
        <v>13</v>
      </c>
      <c r="E636" s="6" t="s">
        <v>1609</v>
      </c>
      <c r="F636" s="6" t="s">
        <v>1721</v>
      </c>
      <c r="G636" s="6" t="s">
        <v>16</v>
      </c>
      <c r="H636" s="5">
        <v>4</v>
      </c>
      <c r="I636" s="6" t="s">
        <v>1722</v>
      </c>
      <c r="J636" s="5">
        <v>1280</v>
      </c>
    </row>
    <row r="637" s="2" customFormat="1" spans="1:10">
      <c r="A637" s="6">
        <f>635</f>
        <v>635</v>
      </c>
      <c r="B637" s="6" t="s">
        <v>1723</v>
      </c>
      <c r="C637" s="6" t="s">
        <v>12</v>
      </c>
      <c r="D637" s="6" t="s">
        <v>13</v>
      </c>
      <c r="E637" s="6" t="s">
        <v>1609</v>
      </c>
      <c r="F637" s="6" t="s">
        <v>1724</v>
      </c>
      <c r="G637" s="6" t="s">
        <v>16</v>
      </c>
      <c r="H637" s="5">
        <v>3</v>
      </c>
      <c r="I637" s="6" t="s">
        <v>1725</v>
      </c>
      <c r="J637" s="5">
        <v>763</v>
      </c>
    </row>
    <row r="638" s="2" customFormat="1" spans="1:10">
      <c r="A638" s="6">
        <f>636</f>
        <v>636</v>
      </c>
      <c r="B638" s="6" t="s">
        <v>1726</v>
      </c>
      <c r="C638" s="6" t="s">
        <v>12</v>
      </c>
      <c r="D638" s="6" t="s">
        <v>13</v>
      </c>
      <c r="E638" s="6" t="s">
        <v>1609</v>
      </c>
      <c r="F638" s="6" t="s">
        <v>1727</v>
      </c>
      <c r="G638" s="6" t="s">
        <v>16</v>
      </c>
      <c r="H638" s="5">
        <v>1</v>
      </c>
      <c r="I638" s="6" t="s">
        <v>1727</v>
      </c>
      <c r="J638" s="5">
        <v>247</v>
      </c>
    </row>
    <row r="639" s="2" customFormat="1" spans="1:10">
      <c r="A639" s="6">
        <f>637</f>
        <v>637</v>
      </c>
      <c r="B639" s="6" t="s">
        <v>1728</v>
      </c>
      <c r="C639" s="6" t="s">
        <v>12</v>
      </c>
      <c r="D639" s="6" t="s">
        <v>13</v>
      </c>
      <c r="E639" s="6" t="s">
        <v>1609</v>
      </c>
      <c r="F639" s="6" t="s">
        <v>1729</v>
      </c>
      <c r="G639" s="6" t="s">
        <v>16</v>
      </c>
      <c r="H639" s="5">
        <v>1</v>
      </c>
      <c r="I639" s="6" t="s">
        <v>1729</v>
      </c>
      <c r="J639" s="5">
        <v>580</v>
      </c>
    </row>
    <row r="640" s="2" customFormat="1" ht="40.5" spans="1:10">
      <c r="A640" s="6">
        <f>638</f>
        <v>638</v>
      </c>
      <c r="B640" s="6" t="s">
        <v>1730</v>
      </c>
      <c r="C640" s="6" t="s">
        <v>12</v>
      </c>
      <c r="D640" s="6" t="s">
        <v>13</v>
      </c>
      <c r="E640" s="6" t="s">
        <v>1609</v>
      </c>
      <c r="F640" s="6" t="s">
        <v>1731</v>
      </c>
      <c r="G640" s="6" t="s">
        <v>16</v>
      </c>
      <c r="H640" s="5">
        <v>7</v>
      </c>
      <c r="I640" s="6" t="s">
        <v>1732</v>
      </c>
      <c r="J640" s="5">
        <v>1190</v>
      </c>
    </row>
    <row r="641" s="2" customFormat="1" spans="1:10">
      <c r="A641" s="6">
        <f>639</f>
        <v>639</v>
      </c>
      <c r="B641" s="6" t="s">
        <v>1733</v>
      </c>
      <c r="C641" s="6" t="s">
        <v>12</v>
      </c>
      <c r="D641" s="6" t="s">
        <v>13</v>
      </c>
      <c r="E641" s="6" t="s">
        <v>1609</v>
      </c>
      <c r="F641" s="6" t="s">
        <v>1734</v>
      </c>
      <c r="G641" s="6" t="s">
        <v>16</v>
      </c>
      <c r="H641" s="5">
        <v>3</v>
      </c>
      <c r="I641" s="6" t="s">
        <v>1735</v>
      </c>
      <c r="J641" s="5">
        <v>1040</v>
      </c>
    </row>
    <row r="642" s="2" customFormat="1" spans="1:10">
      <c r="A642" s="6">
        <f>640</f>
        <v>640</v>
      </c>
      <c r="B642" s="6" t="s">
        <v>1736</v>
      </c>
      <c r="C642" s="6" t="s">
        <v>12</v>
      </c>
      <c r="D642" s="6" t="s">
        <v>13</v>
      </c>
      <c r="E642" s="6" t="s">
        <v>1609</v>
      </c>
      <c r="F642" s="6" t="s">
        <v>1737</v>
      </c>
      <c r="G642" s="6" t="s">
        <v>16</v>
      </c>
      <c r="H642" s="5">
        <v>1</v>
      </c>
      <c r="I642" s="6" t="s">
        <v>1737</v>
      </c>
      <c r="J642" s="5">
        <v>305</v>
      </c>
    </row>
    <row r="643" s="2" customFormat="1" spans="1:10">
      <c r="A643" s="6">
        <f>641</f>
        <v>641</v>
      </c>
      <c r="B643" s="6" t="s">
        <v>1738</v>
      </c>
      <c r="C643" s="6" t="s">
        <v>12</v>
      </c>
      <c r="D643" s="6" t="s">
        <v>13</v>
      </c>
      <c r="E643" s="6" t="s">
        <v>1609</v>
      </c>
      <c r="F643" s="6" t="s">
        <v>1739</v>
      </c>
      <c r="G643" s="6" t="s">
        <v>16</v>
      </c>
      <c r="H643" s="5">
        <v>2</v>
      </c>
      <c r="I643" s="6" t="s">
        <v>1740</v>
      </c>
      <c r="J643" s="5">
        <v>820</v>
      </c>
    </row>
    <row r="644" s="2" customFormat="1" spans="1:10">
      <c r="A644" s="6">
        <f>642</f>
        <v>642</v>
      </c>
      <c r="B644" s="6" t="s">
        <v>1741</v>
      </c>
      <c r="C644" s="6" t="s">
        <v>12</v>
      </c>
      <c r="D644" s="6" t="s">
        <v>13</v>
      </c>
      <c r="E644" s="6" t="s">
        <v>1609</v>
      </c>
      <c r="F644" s="6" t="s">
        <v>1742</v>
      </c>
      <c r="G644" s="6" t="s">
        <v>16</v>
      </c>
      <c r="H644" s="5">
        <v>2</v>
      </c>
      <c r="I644" s="6" t="s">
        <v>1743</v>
      </c>
      <c r="J644" s="5">
        <v>574</v>
      </c>
    </row>
    <row r="645" s="2" customFormat="1" spans="1:10">
      <c r="A645" s="6">
        <f>643</f>
        <v>643</v>
      </c>
      <c r="B645" s="6" t="s">
        <v>1744</v>
      </c>
      <c r="C645" s="6" t="s">
        <v>12</v>
      </c>
      <c r="D645" s="6" t="s">
        <v>13</v>
      </c>
      <c r="E645" s="6" t="s">
        <v>1609</v>
      </c>
      <c r="F645" s="6" t="s">
        <v>1745</v>
      </c>
      <c r="G645" s="6" t="s">
        <v>16</v>
      </c>
      <c r="H645" s="5">
        <v>1</v>
      </c>
      <c r="I645" s="6" t="s">
        <v>1745</v>
      </c>
      <c r="J645" s="5">
        <v>440</v>
      </c>
    </row>
    <row r="646" s="2" customFormat="1" ht="27" spans="1:10">
      <c r="A646" s="6">
        <f>644</f>
        <v>644</v>
      </c>
      <c r="B646" s="6" t="s">
        <v>1746</v>
      </c>
      <c r="C646" s="6" t="s">
        <v>12</v>
      </c>
      <c r="D646" s="6" t="s">
        <v>13</v>
      </c>
      <c r="E646" s="6" t="s">
        <v>1609</v>
      </c>
      <c r="F646" s="6" t="s">
        <v>1747</v>
      </c>
      <c r="G646" s="6" t="s">
        <v>16</v>
      </c>
      <c r="H646" s="5">
        <v>4</v>
      </c>
      <c r="I646" s="6" t="s">
        <v>1748</v>
      </c>
      <c r="J646" s="5">
        <v>1292</v>
      </c>
    </row>
    <row r="647" s="2" customFormat="1" spans="1:10">
      <c r="A647" s="6">
        <f>645</f>
        <v>645</v>
      </c>
      <c r="B647" s="6" t="s">
        <v>1749</v>
      </c>
      <c r="C647" s="6" t="s">
        <v>12</v>
      </c>
      <c r="D647" s="6" t="s">
        <v>13</v>
      </c>
      <c r="E647" s="6" t="s">
        <v>1609</v>
      </c>
      <c r="F647" s="6" t="s">
        <v>1750</v>
      </c>
      <c r="G647" s="6" t="s">
        <v>16</v>
      </c>
      <c r="H647" s="5">
        <v>1</v>
      </c>
      <c r="I647" s="6" t="s">
        <v>1750</v>
      </c>
      <c r="J647" s="5">
        <v>390</v>
      </c>
    </row>
    <row r="648" s="2" customFormat="1" spans="1:10">
      <c r="A648" s="6">
        <f>646</f>
        <v>646</v>
      </c>
      <c r="B648" s="6" t="s">
        <v>1751</v>
      </c>
      <c r="C648" s="6" t="s">
        <v>12</v>
      </c>
      <c r="D648" s="6" t="s">
        <v>13</v>
      </c>
      <c r="E648" s="6" t="s">
        <v>1752</v>
      </c>
      <c r="F648" s="6" t="s">
        <v>1753</v>
      </c>
      <c r="G648" s="6" t="s">
        <v>16</v>
      </c>
      <c r="H648" s="5">
        <v>3</v>
      </c>
      <c r="I648" s="6" t="s">
        <v>1754</v>
      </c>
      <c r="J648" s="5">
        <v>630</v>
      </c>
    </row>
    <row r="649" s="2" customFormat="1" spans="1:10">
      <c r="A649" s="6">
        <f>647</f>
        <v>647</v>
      </c>
      <c r="B649" s="6" t="s">
        <v>1755</v>
      </c>
      <c r="C649" s="6" t="s">
        <v>12</v>
      </c>
      <c r="D649" s="6" t="s">
        <v>13</v>
      </c>
      <c r="E649" s="6" t="s">
        <v>1752</v>
      </c>
      <c r="F649" s="6" t="s">
        <v>1756</v>
      </c>
      <c r="G649" s="6" t="s">
        <v>16</v>
      </c>
      <c r="H649" s="5">
        <v>2</v>
      </c>
      <c r="I649" s="6" t="s">
        <v>1757</v>
      </c>
      <c r="J649" s="5">
        <v>500</v>
      </c>
    </row>
    <row r="650" s="2" customFormat="1" ht="27" spans="1:10">
      <c r="A650" s="6">
        <f>648</f>
        <v>648</v>
      </c>
      <c r="B650" s="6" t="s">
        <v>1758</v>
      </c>
      <c r="C650" s="6" t="s">
        <v>12</v>
      </c>
      <c r="D650" s="6" t="s">
        <v>13</v>
      </c>
      <c r="E650" s="6" t="s">
        <v>1752</v>
      </c>
      <c r="F650" s="6" t="s">
        <v>1759</v>
      </c>
      <c r="G650" s="6" t="s">
        <v>16</v>
      </c>
      <c r="H650" s="5">
        <v>5</v>
      </c>
      <c r="I650" s="6" t="s">
        <v>1760</v>
      </c>
      <c r="J650" s="5">
        <v>1100</v>
      </c>
    </row>
    <row r="651" s="2" customFormat="1" spans="1:10">
      <c r="A651" s="6">
        <f>649</f>
        <v>649</v>
      </c>
      <c r="B651" s="6" t="s">
        <v>1761</v>
      </c>
      <c r="C651" s="6" t="s">
        <v>12</v>
      </c>
      <c r="D651" s="6" t="s">
        <v>13</v>
      </c>
      <c r="E651" s="6" t="s">
        <v>1752</v>
      </c>
      <c r="F651" s="6" t="s">
        <v>1762</v>
      </c>
      <c r="G651" s="6" t="s">
        <v>16</v>
      </c>
      <c r="H651" s="5">
        <v>2</v>
      </c>
      <c r="I651" s="6" t="s">
        <v>1763</v>
      </c>
      <c r="J651" s="5">
        <v>720</v>
      </c>
    </row>
    <row r="652" s="2" customFormat="1" ht="27" spans="1:10">
      <c r="A652" s="6">
        <f>650</f>
        <v>650</v>
      </c>
      <c r="B652" s="6" t="s">
        <v>1764</v>
      </c>
      <c r="C652" s="6" t="s">
        <v>12</v>
      </c>
      <c r="D652" s="6" t="s">
        <v>13</v>
      </c>
      <c r="E652" s="6" t="s">
        <v>1752</v>
      </c>
      <c r="F652" s="6" t="s">
        <v>1765</v>
      </c>
      <c r="G652" s="6" t="s">
        <v>16</v>
      </c>
      <c r="H652" s="5">
        <v>4</v>
      </c>
      <c r="I652" s="6" t="s">
        <v>1766</v>
      </c>
      <c r="J652" s="5">
        <v>805</v>
      </c>
    </row>
    <row r="653" s="2" customFormat="1" spans="1:10">
      <c r="A653" s="6">
        <f>651</f>
        <v>651</v>
      </c>
      <c r="B653" s="6" t="s">
        <v>1767</v>
      </c>
      <c r="C653" s="6" t="s">
        <v>12</v>
      </c>
      <c r="D653" s="6" t="s">
        <v>13</v>
      </c>
      <c r="E653" s="6" t="s">
        <v>1752</v>
      </c>
      <c r="F653" s="6" t="s">
        <v>1768</v>
      </c>
      <c r="G653" s="6" t="s">
        <v>16</v>
      </c>
      <c r="H653" s="5">
        <v>1</v>
      </c>
      <c r="I653" s="6" t="s">
        <v>1768</v>
      </c>
      <c r="J653" s="5">
        <v>260</v>
      </c>
    </row>
    <row r="654" s="2" customFormat="1" ht="27" spans="1:10">
      <c r="A654" s="6">
        <f>652</f>
        <v>652</v>
      </c>
      <c r="B654" s="6" t="s">
        <v>1769</v>
      </c>
      <c r="C654" s="6" t="s">
        <v>12</v>
      </c>
      <c r="D654" s="6" t="s">
        <v>13</v>
      </c>
      <c r="E654" s="6" t="s">
        <v>1752</v>
      </c>
      <c r="F654" s="6" t="s">
        <v>1770</v>
      </c>
      <c r="G654" s="6" t="s">
        <v>16</v>
      </c>
      <c r="H654" s="5">
        <v>4</v>
      </c>
      <c r="I654" s="6" t="s">
        <v>1771</v>
      </c>
      <c r="J654" s="5">
        <v>740</v>
      </c>
    </row>
    <row r="655" s="2" customFormat="1" spans="1:10">
      <c r="A655" s="6">
        <f>653</f>
        <v>653</v>
      </c>
      <c r="B655" s="6" t="s">
        <v>1772</v>
      </c>
      <c r="C655" s="6" t="s">
        <v>12</v>
      </c>
      <c r="D655" s="6" t="s">
        <v>13</v>
      </c>
      <c r="E655" s="6" t="s">
        <v>1752</v>
      </c>
      <c r="F655" s="6" t="s">
        <v>1773</v>
      </c>
      <c r="G655" s="6" t="s">
        <v>16</v>
      </c>
      <c r="H655" s="5">
        <v>2</v>
      </c>
      <c r="I655" s="6" t="s">
        <v>1774</v>
      </c>
      <c r="J655" s="5">
        <v>840</v>
      </c>
    </row>
    <row r="656" s="2" customFormat="1" spans="1:10">
      <c r="A656" s="6">
        <f>654</f>
        <v>654</v>
      </c>
      <c r="B656" s="6" t="s">
        <v>1775</v>
      </c>
      <c r="C656" s="6" t="s">
        <v>12</v>
      </c>
      <c r="D656" s="6" t="s">
        <v>13</v>
      </c>
      <c r="E656" s="6" t="s">
        <v>1752</v>
      </c>
      <c r="F656" s="6" t="s">
        <v>1776</v>
      </c>
      <c r="G656" s="6" t="s">
        <v>16</v>
      </c>
      <c r="H656" s="5">
        <v>1</v>
      </c>
      <c r="I656" s="6" t="s">
        <v>1776</v>
      </c>
      <c r="J656" s="5">
        <v>420</v>
      </c>
    </row>
    <row r="657" s="2" customFormat="1" spans="1:10">
      <c r="A657" s="6">
        <f>655</f>
        <v>655</v>
      </c>
      <c r="B657" s="6" t="s">
        <v>1777</v>
      </c>
      <c r="C657" s="6" t="s">
        <v>12</v>
      </c>
      <c r="D657" s="6" t="s">
        <v>13</v>
      </c>
      <c r="E657" s="6" t="s">
        <v>1752</v>
      </c>
      <c r="F657" s="6" t="s">
        <v>1778</v>
      </c>
      <c r="G657" s="6" t="s">
        <v>16</v>
      </c>
      <c r="H657" s="5">
        <v>2</v>
      </c>
      <c r="I657" s="6" t="s">
        <v>1779</v>
      </c>
      <c r="J657" s="5">
        <v>474</v>
      </c>
    </row>
    <row r="658" s="2" customFormat="1" spans="1:10">
      <c r="A658" s="6">
        <f>656</f>
        <v>656</v>
      </c>
      <c r="B658" s="6" t="s">
        <v>1780</v>
      </c>
      <c r="C658" s="6" t="s">
        <v>12</v>
      </c>
      <c r="D658" s="6" t="s">
        <v>13</v>
      </c>
      <c r="E658" s="6" t="s">
        <v>1752</v>
      </c>
      <c r="F658" s="6" t="s">
        <v>1781</v>
      </c>
      <c r="G658" s="6" t="s">
        <v>16</v>
      </c>
      <c r="H658" s="5">
        <v>2</v>
      </c>
      <c r="I658" s="6" t="s">
        <v>1782</v>
      </c>
      <c r="J658" s="5">
        <v>530</v>
      </c>
    </row>
    <row r="659" s="2" customFormat="1" spans="1:10">
      <c r="A659" s="6">
        <f>657</f>
        <v>657</v>
      </c>
      <c r="B659" s="6" t="s">
        <v>1783</v>
      </c>
      <c r="C659" s="6" t="s">
        <v>12</v>
      </c>
      <c r="D659" s="6" t="s">
        <v>13</v>
      </c>
      <c r="E659" s="6" t="s">
        <v>1752</v>
      </c>
      <c r="F659" s="6" t="s">
        <v>1784</v>
      </c>
      <c r="G659" s="6" t="s">
        <v>16</v>
      </c>
      <c r="H659" s="5">
        <v>1</v>
      </c>
      <c r="I659" s="6" t="s">
        <v>1784</v>
      </c>
      <c r="J659" s="5">
        <v>287</v>
      </c>
    </row>
    <row r="660" s="2" customFormat="1" spans="1:10">
      <c r="A660" s="6">
        <f>658</f>
        <v>658</v>
      </c>
      <c r="B660" s="6" t="s">
        <v>1785</v>
      </c>
      <c r="C660" s="6" t="s">
        <v>12</v>
      </c>
      <c r="D660" s="6" t="s">
        <v>13</v>
      </c>
      <c r="E660" s="6" t="s">
        <v>1752</v>
      </c>
      <c r="F660" s="6" t="s">
        <v>1786</v>
      </c>
      <c r="G660" s="6" t="s">
        <v>16</v>
      </c>
      <c r="H660" s="5">
        <v>3</v>
      </c>
      <c r="I660" s="6" t="s">
        <v>1787</v>
      </c>
      <c r="J660" s="5">
        <v>726</v>
      </c>
    </row>
    <row r="661" s="2" customFormat="1" spans="1:10">
      <c r="A661" s="6">
        <f>659</f>
        <v>659</v>
      </c>
      <c r="B661" s="6" t="s">
        <v>1788</v>
      </c>
      <c r="C661" s="6" t="s">
        <v>12</v>
      </c>
      <c r="D661" s="6" t="s">
        <v>13</v>
      </c>
      <c r="E661" s="6" t="s">
        <v>1752</v>
      </c>
      <c r="F661" s="6" t="s">
        <v>1789</v>
      </c>
      <c r="G661" s="6" t="s">
        <v>16</v>
      </c>
      <c r="H661" s="5">
        <v>3</v>
      </c>
      <c r="I661" s="6" t="s">
        <v>1790</v>
      </c>
      <c r="J661" s="5">
        <v>660</v>
      </c>
    </row>
    <row r="662" s="2" customFormat="1" spans="1:10">
      <c r="A662" s="6">
        <f>660</f>
        <v>660</v>
      </c>
      <c r="B662" s="6" t="s">
        <v>1791</v>
      </c>
      <c r="C662" s="6" t="s">
        <v>12</v>
      </c>
      <c r="D662" s="6" t="s">
        <v>13</v>
      </c>
      <c r="E662" s="6" t="s">
        <v>1752</v>
      </c>
      <c r="F662" s="6" t="s">
        <v>1792</v>
      </c>
      <c r="G662" s="6" t="s">
        <v>16</v>
      </c>
      <c r="H662" s="5">
        <v>2</v>
      </c>
      <c r="I662" s="6" t="s">
        <v>1793</v>
      </c>
      <c r="J662" s="5">
        <v>520</v>
      </c>
    </row>
    <row r="663" s="2" customFormat="1" spans="1:10">
      <c r="A663" s="6">
        <f>661</f>
        <v>661</v>
      </c>
      <c r="B663" s="6" t="s">
        <v>1794</v>
      </c>
      <c r="C663" s="6" t="s">
        <v>12</v>
      </c>
      <c r="D663" s="6" t="s">
        <v>13</v>
      </c>
      <c r="E663" s="6" t="s">
        <v>1752</v>
      </c>
      <c r="F663" s="6" t="s">
        <v>1795</v>
      </c>
      <c r="G663" s="6" t="s">
        <v>16</v>
      </c>
      <c r="H663" s="5">
        <v>1</v>
      </c>
      <c r="I663" s="6" t="s">
        <v>1795</v>
      </c>
      <c r="J663" s="5">
        <v>277</v>
      </c>
    </row>
    <row r="664" s="2" customFormat="1" spans="1:10">
      <c r="A664" s="6">
        <f>662</f>
        <v>662</v>
      </c>
      <c r="B664" s="6" t="s">
        <v>1796</v>
      </c>
      <c r="C664" s="6" t="s">
        <v>12</v>
      </c>
      <c r="D664" s="6" t="s">
        <v>13</v>
      </c>
      <c r="E664" s="6" t="s">
        <v>1752</v>
      </c>
      <c r="F664" s="6" t="s">
        <v>1797</v>
      </c>
      <c r="G664" s="6" t="s">
        <v>16</v>
      </c>
      <c r="H664" s="5">
        <v>1</v>
      </c>
      <c r="I664" s="6" t="s">
        <v>1797</v>
      </c>
      <c r="J664" s="5">
        <v>573</v>
      </c>
    </row>
    <row r="665" s="2" customFormat="1" ht="27" spans="1:10">
      <c r="A665" s="6">
        <f>663</f>
        <v>663</v>
      </c>
      <c r="B665" s="6" t="s">
        <v>1798</v>
      </c>
      <c r="C665" s="6" t="s">
        <v>12</v>
      </c>
      <c r="D665" s="6" t="s">
        <v>13</v>
      </c>
      <c r="E665" s="6" t="s">
        <v>1752</v>
      </c>
      <c r="F665" s="6" t="s">
        <v>1799</v>
      </c>
      <c r="G665" s="6" t="s">
        <v>16</v>
      </c>
      <c r="H665" s="5">
        <v>5</v>
      </c>
      <c r="I665" s="6" t="s">
        <v>1800</v>
      </c>
      <c r="J665" s="5">
        <v>675</v>
      </c>
    </row>
    <row r="666" s="2" customFormat="1" spans="1:10">
      <c r="A666" s="6">
        <f>664</f>
        <v>664</v>
      </c>
      <c r="B666" s="6" t="s">
        <v>1801</v>
      </c>
      <c r="C666" s="6" t="s">
        <v>12</v>
      </c>
      <c r="D666" s="6" t="s">
        <v>13</v>
      </c>
      <c r="E666" s="6" t="s">
        <v>1752</v>
      </c>
      <c r="F666" s="6" t="s">
        <v>1802</v>
      </c>
      <c r="G666" s="6" t="s">
        <v>16</v>
      </c>
      <c r="H666" s="5">
        <v>1</v>
      </c>
      <c r="I666" s="6" t="s">
        <v>1802</v>
      </c>
      <c r="J666" s="5">
        <v>360</v>
      </c>
    </row>
    <row r="667" s="2" customFormat="1" spans="1:10">
      <c r="A667" s="6">
        <f>665</f>
        <v>665</v>
      </c>
      <c r="B667" s="6" t="s">
        <v>1803</v>
      </c>
      <c r="C667" s="6" t="s">
        <v>12</v>
      </c>
      <c r="D667" s="6" t="s">
        <v>13</v>
      </c>
      <c r="E667" s="6" t="s">
        <v>1752</v>
      </c>
      <c r="F667" s="6" t="s">
        <v>1804</v>
      </c>
      <c r="G667" s="6" t="s">
        <v>16</v>
      </c>
      <c r="H667" s="5">
        <v>3</v>
      </c>
      <c r="I667" s="6" t="s">
        <v>1805</v>
      </c>
      <c r="J667" s="5">
        <v>600</v>
      </c>
    </row>
    <row r="668" s="2" customFormat="1" spans="1:10">
      <c r="A668" s="6">
        <f>666</f>
        <v>666</v>
      </c>
      <c r="B668" s="6" t="s">
        <v>1806</v>
      </c>
      <c r="C668" s="6" t="s">
        <v>12</v>
      </c>
      <c r="D668" s="6" t="s">
        <v>13</v>
      </c>
      <c r="E668" s="6" t="s">
        <v>1752</v>
      </c>
      <c r="F668" s="6" t="s">
        <v>1807</v>
      </c>
      <c r="G668" s="6" t="s">
        <v>16</v>
      </c>
      <c r="H668" s="5">
        <v>2</v>
      </c>
      <c r="I668" s="6" t="s">
        <v>1808</v>
      </c>
      <c r="J668" s="5">
        <v>500</v>
      </c>
    </row>
    <row r="669" s="2" customFormat="1" ht="27" spans="1:10">
      <c r="A669" s="6">
        <f>667</f>
        <v>667</v>
      </c>
      <c r="B669" s="6" t="s">
        <v>1809</v>
      </c>
      <c r="C669" s="6" t="s">
        <v>12</v>
      </c>
      <c r="D669" s="6" t="s">
        <v>13</v>
      </c>
      <c r="E669" s="6" t="s">
        <v>1752</v>
      </c>
      <c r="F669" s="6" t="s">
        <v>1810</v>
      </c>
      <c r="G669" s="6" t="s">
        <v>16</v>
      </c>
      <c r="H669" s="5">
        <v>4</v>
      </c>
      <c r="I669" s="6" t="s">
        <v>1811</v>
      </c>
      <c r="J669" s="5">
        <v>520</v>
      </c>
    </row>
    <row r="670" s="2" customFormat="1" spans="1:10">
      <c r="A670" s="6">
        <f>668</f>
        <v>668</v>
      </c>
      <c r="B670" s="6" t="s">
        <v>1812</v>
      </c>
      <c r="C670" s="6" t="s">
        <v>12</v>
      </c>
      <c r="D670" s="6" t="s">
        <v>13</v>
      </c>
      <c r="E670" s="6" t="s">
        <v>1752</v>
      </c>
      <c r="F670" s="6" t="s">
        <v>1813</v>
      </c>
      <c r="G670" s="6" t="s">
        <v>16</v>
      </c>
      <c r="H670" s="5">
        <v>2</v>
      </c>
      <c r="I670" s="6" t="s">
        <v>1814</v>
      </c>
      <c r="J670" s="5">
        <v>500</v>
      </c>
    </row>
    <row r="671" s="2" customFormat="1" spans="1:10">
      <c r="A671" s="6">
        <f>669</f>
        <v>669</v>
      </c>
      <c r="B671" s="6" t="s">
        <v>1815</v>
      </c>
      <c r="C671" s="6" t="s">
        <v>12</v>
      </c>
      <c r="D671" s="6" t="s">
        <v>13</v>
      </c>
      <c r="E671" s="6" t="s">
        <v>1752</v>
      </c>
      <c r="F671" s="6" t="s">
        <v>1816</v>
      </c>
      <c r="G671" s="6" t="s">
        <v>16</v>
      </c>
      <c r="H671" s="5">
        <v>1</v>
      </c>
      <c r="I671" s="6" t="s">
        <v>1816</v>
      </c>
      <c r="J671" s="5">
        <v>260</v>
      </c>
    </row>
    <row r="672" s="2" customFormat="1" spans="1:10">
      <c r="A672" s="6">
        <f>670</f>
        <v>670</v>
      </c>
      <c r="B672" s="6" t="s">
        <v>1817</v>
      </c>
      <c r="C672" s="6" t="s">
        <v>12</v>
      </c>
      <c r="D672" s="6" t="s">
        <v>13</v>
      </c>
      <c r="E672" s="6" t="s">
        <v>1752</v>
      </c>
      <c r="F672" s="6" t="s">
        <v>1818</v>
      </c>
      <c r="G672" s="6" t="s">
        <v>16</v>
      </c>
      <c r="H672" s="5">
        <v>2</v>
      </c>
      <c r="I672" s="6" t="s">
        <v>1819</v>
      </c>
      <c r="J672" s="5">
        <v>520</v>
      </c>
    </row>
    <row r="673" s="2" customFormat="1" spans="1:10">
      <c r="A673" s="6">
        <f>671</f>
        <v>671</v>
      </c>
      <c r="B673" s="6" t="s">
        <v>1820</v>
      </c>
      <c r="C673" s="6" t="s">
        <v>12</v>
      </c>
      <c r="D673" s="6" t="s">
        <v>13</v>
      </c>
      <c r="E673" s="6" t="s">
        <v>1752</v>
      </c>
      <c r="F673" s="6" t="s">
        <v>1821</v>
      </c>
      <c r="G673" s="6" t="s">
        <v>16</v>
      </c>
      <c r="H673" s="5">
        <v>3</v>
      </c>
      <c r="I673" s="6" t="s">
        <v>1822</v>
      </c>
      <c r="J673" s="5">
        <v>1080</v>
      </c>
    </row>
    <row r="674" s="2" customFormat="1" spans="1:10">
      <c r="A674" s="6">
        <f>672</f>
        <v>672</v>
      </c>
      <c r="B674" s="6" t="s">
        <v>1823</v>
      </c>
      <c r="C674" s="6" t="s">
        <v>12</v>
      </c>
      <c r="D674" s="6" t="s">
        <v>13</v>
      </c>
      <c r="E674" s="6" t="s">
        <v>1752</v>
      </c>
      <c r="F674" s="6" t="s">
        <v>1824</v>
      </c>
      <c r="G674" s="6" t="s">
        <v>16</v>
      </c>
      <c r="H674" s="5">
        <v>2</v>
      </c>
      <c r="I674" s="6" t="s">
        <v>1825</v>
      </c>
      <c r="J674" s="5">
        <v>400</v>
      </c>
    </row>
    <row r="675" s="2" customFormat="1" spans="1:10">
      <c r="A675" s="6">
        <f>673</f>
        <v>673</v>
      </c>
      <c r="B675" s="6" t="s">
        <v>1826</v>
      </c>
      <c r="C675" s="6" t="s">
        <v>12</v>
      </c>
      <c r="D675" s="6" t="s">
        <v>13</v>
      </c>
      <c r="E675" s="6" t="s">
        <v>1752</v>
      </c>
      <c r="F675" s="6" t="s">
        <v>1827</v>
      </c>
      <c r="G675" s="6" t="s">
        <v>16</v>
      </c>
      <c r="H675" s="5">
        <v>1</v>
      </c>
      <c r="I675" s="6" t="s">
        <v>1827</v>
      </c>
      <c r="J675" s="5">
        <v>420</v>
      </c>
    </row>
    <row r="676" s="2" customFormat="1" spans="1:10">
      <c r="A676" s="6">
        <f>674</f>
        <v>674</v>
      </c>
      <c r="B676" s="6" t="s">
        <v>1828</v>
      </c>
      <c r="C676" s="6" t="s">
        <v>12</v>
      </c>
      <c r="D676" s="6" t="s">
        <v>13</v>
      </c>
      <c r="E676" s="6" t="s">
        <v>1752</v>
      </c>
      <c r="F676" s="6" t="s">
        <v>1829</v>
      </c>
      <c r="G676" s="6" t="s">
        <v>16</v>
      </c>
      <c r="H676" s="5">
        <v>1</v>
      </c>
      <c r="I676" s="6" t="s">
        <v>1829</v>
      </c>
      <c r="J676" s="5">
        <v>360</v>
      </c>
    </row>
    <row r="677" s="2" customFormat="1" spans="1:10">
      <c r="A677" s="6">
        <f>675</f>
        <v>675</v>
      </c>
      <c r="B677" s="6" t="s">
        <v>1830</v>
      </c>
      <c r="C677" s="6" t="s">
        <v>12</v>
      </c>
      <c r="D677" s="6" t="s">
        <v>13</v>
      </c>
      <c r="E677" s="6" t="s">
        <v>1752</v>
      </c>
      <c r="F677" s="6" t="s">
        <v>1831</v>
      </c>
      <c r="G677" s="6" t="s">
        <v>16</v>
      </c>
      <c r="H677" s="5">
        <v>2</v>
      </c>
      <c r="I677" s="6" t="s">
        <v>1832</v>
      </c>
      <c r="J677" s="5">
        <v>480</v>
      </c>
    </row>
    <row r="678" s="2" customFormat="1" spans="1:10">
      <c r="A678" s="6">
        <f>676</f>
        <v>676</v>
      </c>
      <c r="B678" s="6" t="s">
        <v>1833</v>
      </c>
      <c r="C678" s="6" t="s">
        <v>12</v>
      </c>
      <c r="D678" s="6" t="s">
        <v>13</v>
      </c>
      <c r="E678" s="6" t="s">
        <v>1752</v>
      </c>
      <c r="F678" s="6" t="s">
        <v>1834</v>
      </c>
      <c r="G678" s="6" t="s">
        <v>16</v>
      </c>
      <c r="H678" s="5">
        <v>1</v>
      </c>
      <c r="I678" s="6" t="s">
        <v>1834</v>
      </c>
      <c r="J678" s="5">
        <v>360</v>
      </c>
    </row>
    <row r="679" s="2" customFormat="1" ht="27" spans="1:10">
      <c r="A679" s="6">
        <f>677</f>
        <v>677</v>
      </c>
      <c r="B679" s="6" t="s">
        <v>1835</v>
      </c>
      <c r="C679" s="6" t="s">
        <v>12</v>
      </c>
      <c r="D679" s="6" t="s">
        <v>13</v>
      </c>
      <c r="E679" s="6" t="s">
        <v>1752</v>
      </c>
      <c r="F679" s="6" t="s">
        <v>1836</v>
      </c>
      <c r="G679" s="6" t="s">
        <v>16</v>
      </c>
      <c r="H679" s="5">
        <v>4</v>
      </c>
      <c r="I679" s="6" t="s">
        <v>1837</v>
      </c>
      <c r="J679" s="5">
        <v>680</v>
      </c>
    </row>
    <row r="680" s="2" customFormat="1" spans="1:10">
      <c r="A680" s="6">
        <f>678</f>
        <v>678</v>
      </c>
      <c r="B680" s="6" t="s">
        <v>1838</v>
      </c>
      <c r="C680" s="6" t="s">
        <v>12</v>
      </c>
      <c r="D680" s="6" t="s">
        <v>13</v>
      </c>
      <c r="E680" s="6" t="s">
        <v>1752</v>
      </c>
      <c r="F680" s="6" t="s">
        <v>1839</v>
      </c>
      <c r="G680" s="6" t="s">
        <v>16</v>
      </c>
      <c r="H680" s="5">
        <v>3</v>
      </c>
      <c r="I680" s="6" t="s">
        <v>1840</v>
      </c>
      <c r="J680" s="5">
        <v>522</v>
      </c>
    </row>
    <row r="681" s="2" customFormat="1" spans="1:10">
      <c r="A681" s="6">
        <f>679</f>
        <v>679</v>
      </c>
      <c r="B681" s="6" t="s">
        <v>1841</v>
      </c>
      <c r="C681" s="6" t="s">
        <v>12</v>
      </c>
      <c r="D681" s="6" t="s">
        <v>13</v>
      </c>
      <c r="E681" s="6" t="s">
        <v>1752</v>
      </c>
      <c r="F681" s="6" t="s">
        <v>1842</v>
      </c>
      <c r="G681" s="6" t="s">
        <v>16</v>
      </c>
      <c r="H681" s="5">
        <v>2</v>
      </c>
      <c r="I681" s="6" t="s">
        <v>1843</v>
      </c>
      <c r="J681" s="5">
        <v>720</v>
      </c>
    </row>
    <row r="682" s="2" customFormat="1" spans="1:10">
      <c r="A682" s="6">
        <f>680</f>
        <v>680</v>
      </c>
      <c r="B682" s="6" t="s">
        <v>1844</v>
      </c>
      <c r="C682" s="6" t="s">
        <v>12</v>
      </c>
      <c r="D682" s="6" t="s">
        <v>13</v>
      </c>
      <c r="E682" s="6" t="s">
        <v>1845</v>
      </c>
      <c r="F682" s="6" t="s">
        <v>1846</v>
      </c>
      <c r="G682" s="6" t="s">
        <v>16</v>
      </c>
      <c r="H682" s="5">
        <v>3</v>
      </c>
      <c r="I682" s="6" t="s">
        <v>1847</v>
      </c>
      <c r="J682" s="5">
        <v>580</v>
      </c>
    </row>
    <row r="683" s="2" customFormat="1" spans="1:10">
      <c r="A683" s="6">
        <f>681</f>
        <v>681</v>
      </c>
      <c r="B683" s="6" t="s">
        <v>1848</v>
      </c>
      <c r="C683" s="6" t="s">
        <v>12</v>
      </c>
      <c r="D683" s="6" t="s">
        <v>13</v>
      </c>
      <c r="E683" s="6" t="s">
        <v>1845</v>
      </c>
      <c r="F683" s="6" t="s">
        <v>1849</v>
      </c>
      <c r="G683" s="6" t="s">
        <v>16</v>
      </c>
      <c r="H683" s="5">
        <v>1</v>
      </c>
      <c r="I683" s="6" t="s">
        <v>1849</v>
      </c>
      <c r="J683" s="5">
        <v>260</v>
      </c>
    </row>
    <row r="684" s="2" customFormat="1" spans="1:10">
      <c r="A684" s="6">
        <f>682</f>
        <v>682</v>
      </c>
      <c r="B684" s="6" t="s">
        <v>1850</v>
      </c>
      <c r="C684" s="6" t="s">
        <v>12</v>
      </c>
      <c r="D684" s="6" t="s">
        <v>13</v>
      </c>
      <c r="E684" s="6" t="s">
        <v>1845</v>
      </c>
      <c r="F684" s="6" t="s">
        <v>1851</v>
      </c>
      <c r="G684" s="6" t="s">
        <v>16</v>
      </c>
      <c r="H684" s="5">
        <v>2</v>
      </c>
      <c r="I684" s="6" t="s">
        <v>1852</v>
      </c>
      <c r="J684" s="5">
        <v>470</v>
      </c>
    </row>
    <row r="685" s="2" customFormat="1" spans="1:10">
      <c r="A685" s="6">
        <f>683</f>
        <v>683</v>
      </c>
      <c r="B685" s="6" t="s">
        <v>1853</v>
      </c>
      <c r="C685" s="6" t="s">
        <v>12</v>
      </c>
      <c r="D685" s="6" t="s">
        <v>13</v>
      </c>
      <c r="E685" s="6" t="s">
        <v>1845</v>
      </c>
      <c r="F685" s="6" t="s">
        <v>1854</v>
      </c>
      <c r="G685" s="6" t="s">
        <v>16</v>
      </c>
      <c r="H685" s="5">
        <v>2</v>
      </c>
      <c r="I685" s="6" t="s">
        <v>1855</v>
      </c>
      <c r="J685" s="5">
        <v>470</v>
      </c>
    </row>
    <row r="686" s="2" customFormat="1" spans="1:10">
      <c r="A686" s="6">
        <f>684</f>
        <v>684</v>
      </c>
      <c r="B686" s="6" t="s">
        <v>1856</v>
      </c>
      <c r="C686" s="6" t="s">
        <v>12</v>
      </c>
      <c r="D686" s="6" t="s">
        <v>13</v>
      </c>
      <c r="E686" s="6" t="s">
        <v>1845</v>
      </c>
      <c r="F686" s="6" t="s">
        <v>1857</v>
      </c>
      <c r="G686" s="6" t="s">
        <v>16</v>
      </c>
      <c r="H686" s="5">
        <v>1</v>
      </c>
      <c r="I686" s="6" t="s">
        <v>1857</v>
      </c>
      <c r="J686" s="5">
        <v>280</v>
      </c>
    </row>
    <row r="687" s="2" customFormat="1" spans="1:10">
      <c r="A687" s="6">
        <f>685</f>
        <v>685</v>
      </c>
      <c r="B687" s="6" t="s">
        <v>1858</v>
      </c>
      <c r="C687" s="6" t="s">
        <v>12</v>
      </c>
      <c r="D687" s="6" t="s">
        <v>13</v>
      </c>
      <c r="E687" s="6" t="s">
        <v>1845</v>
      </c>
      <c r="F687" s="6" t="s">
        <v>1859</v>
      </c>
      <c r="G687" s="6" t="s">
        <v>16</v>
      </c>
      <c r="H687" s="5">
        <v>3</v>
      </c>
      <c r="I687" s="6" t="s">
        <v>1860</v>
      </c>
      <c r="J687" s="5">
        <v>780</v>
      </c>
    </row>
    <row r="688" s="2" customFormat="1" spans="1:10">
      <c r="A688" s="6">
        <f>686</f>
        <v>686</v>
      </c>
      <c r="B688" s="6" t="s">
        <v>1861</v>
      </c>
      <c r="C688" s="6" t="s">
        <v>12</v>
      </c>
      <c r="D688" s="6" t="s">
        <v>13</v>
      </c>
      <c r="E688" s="6" t="s">
        <v>1845</v>
      </c>
      <c r="F688" s="6" t="s">
        <v>1862</v>
      </c>
      <c r="G688" s="6" t="s">
        <v>16</v>
      </c>
      <c r="H688" s="5">
        <v>3</v>
      </c>
      <c r="I688" s="6" t="s">
        <v>1863</v>
      </c>
      <c r="J688" s="5">
        <v>440</v>
      </c>
    </row>
    <row r="689" s="2" customFormat="1" ht="27" spans="1:10">
      <c r="A689" s="6">
        <f>687</f>
        <v>687</v>
      </c>
      <c r="B689" s="6" t="s">
        <v>1864</v>
      </c>
      <c r="C689" s="6" t="s">
        <v>12</v>
      </c>
      <c r="D689" s="6" t="s">
        <v>13</v>
      </c>
      <c r="E689" s="6" t="s">
        <v>1845</v>
      </c>
      <c r="F689" s="6" t="s">
        <v>1865</v>
      </c>
      <c r="G689" s="6" t="s">
        <v>16</v>
      </c>
      <c r="H689" s="5">
        <v>6</v>
      </c>
      <c r="I689" s="6" t="s">
        <v>1866</v>
      </c>
      <c r="J689" s="5">
        <v>1040</v>
      </c>
    </row>
    <row r="690" s="2" customFormat="1" spans="1:10">
      <c r="A690" s="6">
        <f>688</f>
        <v>688</v>
      </c>
      <c r="B690" s="6" t="s">
        <v>1867</v>
      </c>
      <c r="C690" s="6" t="s">
        <v>12</v>
      </c>
      <c r="D690" s="6" t="s">
        <v>13</v>
      </c>
      <c r="E690" s="6" t="s">
        <v>1845</v>
      </c>
      <c r="F690" s="6" t="s">
        <v>1868</v>
      </c>
      <c r="G690" s="6" t="s">
        <v>16</v>
      </c>
      <c r="H690" s="5">
        <v>3</v>
      </c>
      <c r="I690" s="6" t="s">
        <v>1869</v>
      </c>
      <c r="J690" s="5">
        <v>500</v>
      </c>
    </row>
    <row r="691" s="2" customFormat="1" ht="27" spans="1:10">
      <c r="A691" s="6">
        <f>689</f>
        <v>689</v>
      </c>
      <c r="B691" s="6" t="s">
        <v>1870</v>
      </c>
      <c r="C691" s="6" t="s">
        <v>12</v>
      </c>
      <c r="D691" s="6" t="s">
        <v>13</v>
      </c>
      <c r="E691" s="6" t="s">
        <v>1845</v>
      </c>
      <c r="F691" s="6" t="s">
        <v>1871</v>
      </c>
      <c r="G691" s="6" t="s">
        <v>16</v>
      </c>
      <c r="H691" s="5">
        <v>5</v>
      </c>
      <c r="I691" s="6" t="s">
        <v>1872</v>
      </c>
      <c r="J691" s="5">
        <v>1000</v>
      </c>
    </row>
    <row r="692" s="2" customFormat="1" spans="1:10">
      <c r="A692" s="6">
        <f>690</f>
        <v>690</v>
      </c>
      <c r="B692" s="6" t="s">
        <v>1873</v>
      </c>
      <c r="C692" s="6" t="s">
        <v>12</v>
      </c>
      <c r="D692" s="6" t="s">
        <v>13</v>
      </c>
      <c r="E692" s="6" t="s">
        <v>1845</v>
      </c>
      <c r="F692" s="6" t="s">
        <v>1874</v>
      </c>
      <c r="G692" s="6" t="s">
        <v>16</v>
      </c>
      <c r="H692" s="5">
        <v>1</v>
      </c>
      <c r="I692" s="6" t="s">
        <v>1874</v>
      </c>
      <c r="J692" s="5">
        <v>345</v>
      </c>
    </row>
    <row r="693" s="2" customFormat="1" spans="1:10">
      <c r="A693" s="6">
        <f>691</f>
        <v>691</v>
      </c>
      <c r="B693" s="6" t="s">
        <v>1875</v>
      </c>
      <c r="C693" s="6" t="s">
        <v>12</v>
      </c>
      <c r="D693" s="6" t="s">
        <v>13</v>
      </c>
      <c r="E693" s="6" t="s">
        <v>1845</v>
      </c>
      <c r="F693" s="6" t="s">
        <v>1876</v>
      </c>
      <c r="G693" s="6" t="s">
        <v>16</v>
      </c>
      <c r="H693" s="5">
        <v>2</v>
      </c>
      <c r="I693" s="6" t="s">
        <v>1877</v>
      </c>
      <c r="J693" s="5">
        <v>420</v>
      </c>
    </row>
    <row r="694" s="2" customFormat="1" spans="1:10">
      <c r="A694" s="6">
        <f>692</f>
        <v>692</v>
      </c>
      <c r="B694" s="6" t="s">
        <v>1878</v>
      </c>
      <c r="C694" s="6" t="s">
        <v>12</v>
      </c>
      <c r="D694" s="6" t="s">
        <v>13</v>
      </c>
      <c r="E694" s="6" t="s">
        <v>1845</v>
      </c>
      <c r="F694" s="6" t="s">
        <v>1879</v>
      </c>
      <c r="G694" s="6" t="s">
        <v>16</v>
      </c>
      <c r="H694" s="5">
        <v>1</v>
      </c>
      <c r="I694" s="6" t="s">
        <v>1879</v>
      </c>
      <c r="J694" s="5">
        <v>270</v>
      </c>
    </row>
    <row r="695" s="2" customFormat="1" ht="27" spans="1:10">
      <c r="A695" s="6">
        <f>693</f>
        <v>693</v>
      </c>
      <c r="B695" s="6" t="s">
        <v>1880</v>
      </c>
      <c r="C695" s="6" t="s">
        <v>12</v>
      </c>
      <c r="D695" s="6" t="s">
        <v>13</v>
      </c>
      <c r="E695" s="6" t="s">
        <v>1845</v>
      </c>
      <c r="F695" s="6" t="s">
        <v>1881</v>
      </c>
      <c r="G695" s="6" t="s">
        <v>16</v>
      </c>
      <c r="H695" s="5">
        <v>4</v>
      </c>
      <c r="I695" s="6" t="s">
        <v>1882</v>
      </c>
      <c r="J695" s="5">
        <v>790</v>
      </c>
    </row>
    <row r="696" s="2" customFormat="1" spans="1:10">
      <c r="A696" s="6">
        <f>694</f>
        <v>694</v>
      </c>
      <c r="B696" s="6" t="s">
        <v>1883</v>
      </c>
      <c r="C696" s="6" t="s">
        <v>12</v>
      </c>
      <c r="D696" s="6" t="s">
        <v>13</v>
      </c>
      <c r="E696" s="6" t="s">
        <v>1845</v>
      </c>
      <c r="F696" s="6" t="s">
        <v>1884</v>
      </c>
      <c r="G696" s="6" t="s">
        <v>16</v>
      </c>
      <c r="H696" s="5">
        <v>1</v>
      </c>
      <c r="I696" s="6" t="s">
        <v>1884</v>
      </c>
      <c r="J696" s="5">
        <v>270</v>
      </c>
    </row>
    <row r="697" s="2" customFormat="1" spans="1:10">
      <c r="A697" s="6">
        <f>695</f>
        <v>695</v>
      </c>
      <c r="B697" s="6" t="s">
        <v>1885</v>
      </c>
      <c r="C697" s="6" t="s">
        <v>12</v>
      </c>
      <c r="D697" s="6" t="s">
        <v>13</v>
      </c>
      <c r="E697" s="6" t="s">
        <v>1845</v>
      </c>
      <c r="F697" s="6" t="s">
        <v>1886</v>
      </c>
      <c r="G697" s="6" t="s">
        <v>16</v>
      </c>
      <c r="H697" s="5">
        <v>1</v>
      </c>
      <c r="I697" s="6" t="s">
        <v>1886</v>
      </c>
      <c r="J697" s="5">
        <v>270</v>
      </c>
    </row>
    <row r="698" s="2" customFormat="1" spans="1:10">
      <c r="A698" s="6">
        <f>696</f>
        <v>696</v>
      </c>
      <c r="B698" s="6" t="s">
        <v>1887</v>
      </c>
      <c r="C698" s="6" t="s">
        <v>12</v>
      </c>
      <c r="D698" s="6" t="s">
        <v>13</v>
      </c>
      <c r="E698" s="6" t="s">
        <v>1845</v>
      </c>
      <c r="F698" s="6" t="s">
        <v>1888</v>
      </c>
      <c r="G698" s="6" t="s">
        <v>16</v>
      </c>
      <c r="H698" s="5">
        <v>2</v>
      </c>
      <c r="I698" s="6" t="s">
        <v>1889</v>
      </c>
      <c r="J698" s="5">
        <v>330</v>
      </c>
    </row>
    <row r="699" s="2" customFormat="1" spans="1:10">
      <c r="A699" s="6">
        <f>697</f>
        <v>697</v>
      </c>
      <c r="B699" s="6" t="s">
        <v>1890</v>
      </c>
      <c r="C699" s="6" t="s">
        <v>12</v>
      </c>
      <c r="D699" s="6" t="s">
        <v>13</v>
      </c>
      <c r="E699" s="6" t="s">
        <v>1845</v>
      </c>
      <c r="F699" s="6" t="s">
        <v>1891</v>
      </c>
      <c r="G699" s="6" t="s">
        <v>16</v>
      </c>
      <c r="H699" s="5">
        <v>1</v>
      </c>
      <c r="I699" s="6" t="s">
        <v>1891</v>
      </c>
      <c r="J699" s="5">
        <v>395</v>
      </c>
    </row>
    <row r="700" s="2" customFormat="1" spans="1:10">
      <c r="A700" s="6">
        <f>698</f>
        <v>698</v>
      </c>
      <c r="B700" s="6" t="s">
        <v>1892</v>
      </c>
      <c r="C700" s="6" t="s">
        <v>12</v>
      </c>
      <c r="D700" s="6" t="s">
        <v>13</v>
      </c>
      <c r="E700" s="6" t="s">
        <v>1845</v>
      </c>
      <c r="F700" s="6" t="s">
        <v>1893</v>
      </c>
      <c r="G700" s="6" t="s">
        <v>16</v>
      </c>
      <c r="H700" s="5">
        <v>1</v>
      </c>
      <c r="I700" s="6" t="s">
        <v>1893</v>
      </c>
      <c r="J700" s="5">
        <v>270</v>
      </c>
    </row>
    <row r="701" s="2" customFormat="1" spans="1:10">
      <c r="A701" s="6">
        <f>699</f>
        <v>699</v>
      </c>
      <c r="B701" s="6" t="s">
        <v>1894</v>
      </c>
      <c r="C701" s="6" t="s">
        <v>12</v>
      </c>
      <c r="D701" s="6" t="s">
        <v>13</v>
      </c>
      <c r="E701" s="6" t="s">
        <v>1845</v>
      </c>
      <c r="F701" s="6" t="s">
        <v>1895</v>
      </c>
      <c r="G701" s="6" t="s">
        <v>16</v>
      </c>
      <c r="H701" s="5">
        <v>2</v>
      </c>
      <c r="I701" s="6" t="s">
        <v>1896</v>
      </c>
      <c r="J701" s="5">
        <v>590</v>
      </c>
    </row>
    <row r="702" s="2" customFormat="1" spans="1:10">
      <c r="A702" s="6">
        <f>700</f>
        <v>700</v>
      </c>
      <c r="B702" s="6" t="s">
        <v>1897</v>
      </c>
      <c r="C702" s="6" t="s">
        <v>12</v>
      </c>
      <c r="D702" s="6" t="s">
        <v>13</v>
      </c>
      <c r="E702" s="6" t="s">
        <v>1845</v>
      </c>
      <c r="F702" s="6" t="s">
        <v>1898</v>
      </c>
      <c r="G702" s="6" t="s">
        <v>16</v>
      </c>
      <c r="H702" s="5">
        <v>3</v>
      </c>
      <c r="I702" s="6" t="s">
        <v>1899</v>
      </c>
      <c r="J702" s="5">
        <v>490</v>
      </c>
    </row>
    <row r="703" s="2" customFormat="1" spans="1:10">
      <c r="A703" s="6">
        <f>701</f>
        <v>701</v>
      </c>
      <c r="B703" s="6" t="s">
        <v>1900</v>
      </c>
      <c r="C703" s="6" t="s">
        <v>12</v>
      </c>
      <c r="D703" s="6" t="s">
        <v>13</v>
      </c>
      <c r="E703" s="6" t="s">
        <v>1845</v>
      </c>
      <c r="F703" s="6" t="s">
        <v>1901</v>
      </c>
      <c r="G703" s="6" t="s">
        <v>16</v>
      </c>
      <c r="H703" s="5">
        <v>2</v>
      </c>
      <c r="I703" s="6" t="s">
        <v>1902</v>
      </c>
      <c r="J703" s="5">
        <v>500</v>
      </c>
    </row>
    <row r="704" s="2" customFormat="1" spans="1:10">
      <c r="A704" s="6">
        <f>702</f>
        <v>702</v>
      </c>
      <c r="B704" s="6" t="s">
        <v>1903</v>
      </c>
      <c r="C704" s="6" t="s">
        <v>12</v>
      </c>
      <c r="D704" s="6" t="s">
        <v>13</v>
      </c>
      <c r="E704" s="6" t="s">
        <v>1845</v>
      </c>
      <c r="F704" s="6" t="s">
        <v>1904</v>
      </c>
      <c r="G704" s="6" t="s">
        <v>16</v>
      </c>
      <c r="H704" s="5">
        <v>1</v>
      </c>
      <c r="I704" s="6" t="s">
        <v>1904</v>
      </c>
      <c r="J704" s="5">
        <v>440</v>
      </c>
    </row>
    <row r="705" s="2" customFormat="1" spans="1:10">
      <c r="A705" s="6">
        <f>703</f>
        <v>703</v>
      </c>
      <c r="B705" s="6" t="s">
        <v>1905</v>
      </c>
      <c r="C705" s="6" t="s">
        <v>12</v>
      </c>
      <c r="D705" s="6" t="s">
        <v>13</v>
      </c>
      <c r="E705" s="6" t="s">
        <v>1845</v>
      </c>
      <c r="F705" s="6" t="s">
        <v>1906</v>
      </c>
      <c r="G705" s="6" t="s">
        <v>16</v>
      </c>
      <c r="H705" s="5">
        <v>2</v>
      </c>
      <c r="I705" s="6" t="s">
        <v>1907</v>
      </c>
      <c r="J705" s="5">
        <v>520</v>
      </c>
    </row>
    <row r="706" s="2" customFormat="1" spans="1:10">
      <c r="A706" s="6">
        <f>704</f>
        <v>704</v>
      </c>
      <c r="B706" s="6" t="s">
        <v>1908</v>
      </c>
      <c r="C706" s="6" t="s">
        <v>12</v>
      </c>
      <c r="D706" s="6" t="s">
        <v>13</v>
      </c>
      <c r="E706" s="6" t="s">
        <v>1845</v>
      </c>
      <c r="F706" s="6" t="s">
        <v>1909</v>
      </c>
      <c r="G706" s="6" t="s">
        <v>16</v>
      </c>
      <c r="H706" s="5">
        <v>3</v>
      </c>
      <c r="I706" s="6" t="s">
        <v>1910</v>
      </c>
      <c r="J706" s="5">
        <v>313</v>
      </c>
    </row>
    <row r="707" s="2" customFormat="1" spans="1:10">
      <c r="A707" s="6">
        <f>705</f>
        <v>705</v>
      </c>
      <c r="B707" s="6" t="s">
        <v>1911</v>
      </c>
      <c r="C707" s="6" t="s">
        <v>12</v>
      </c>
      <c r="D707" s="6" t="s">
        <v>13</v>
      </c>
      <c r="E707" s="6" t="s">
        <v>1845</v>
      </c>
      <c r="F707" s="6" t="s">
        <v>1912</v>
      </c>
      <c r="G707" s="6" t="s">
        <v>16</v>
      </c>
      <c r="H707" s="5">
        <v>2</v>
      </c>
      <c r="I707" s="6" t="s">
        <v>1913</v>
      </c>
      <c r="J707" s="5">
        <v>920</v>
      </c>
    </row>
    <row r="708" s="2" customFormat="1" spans="1:10">
      <c r="A708" s="6">
        <f>706</f>
        <v>706</v>
      </c>
      <c r="B708" s="6" t="s">
        <v>1914</v>
      </c>
      <c r="C708" s="6" t="s">
        <v>12</v>
      </c>
      <c r="D708" s="6" t="s">
        <v>13</v>
      </c>
      <c r="E708" s="6" t="s">
        <v>1845</v>
      </c>
      <c r="F708" s="6" t="s">
        <v>1915</v>
      </c>
      <c r="G708" s="6" t="s">
        <v>16</v>
      </c>
      <c r="H708" s="5">
        <v>1</v>
      </c>
      <c r="I708" s="6" t="s">
        <v>1915</v>
      </c>
      <c r="J708" s="5">
        <v>345</v>
      </c>
    </row>
    <row r="709" s="2" customFormat="1" spans="1:10">
      <c r="A709" s="6">
        <f>707</f>
        <v>707</v>
      </c>
      <c r="B709" s="6" t="s">
        <v>1916</v>
      </c>
      <c r="C709" s="6" t="s">
        <v>12</v>
      </c>
      <c r="D709" s="6" t="s">
        <v>13</v>
      </c>
      <c r="E709" s="6" t="s">
        <v>1845</v>
      </c>
      <c r="F709" s="6" t="s">
        <v>1917</v>
      </c>
      <c r="G709" s="6" t="s">
        <v>16</v>
      </c>
      <c r="H709" s="5">
        <v>1</v>
      </c>
      <c r="I709" s="6" t="s">
        <v>1917</v>
      </c>
      <c r="J709" s="5">
        <v>270</v>
      </c>
    </row>
    <row r="710" s="2" customFormat="1" ht="27" spans="1:10">
      <c r="A710" s="6">
        <f>708</f>
        <v>708</v>
      </c>
      <c r="B710" s="6" t="s">
        <v>1918</v>
      </c>
      <c r="C710" s="6" t="s">
        <v>12</v>
      </c>
      <c r="D710" s="6" t="s">
        <v>13</v>
      </c>
      <c r="E710" s="6" t="s">
        <v>1845</v>
      </c>
      <c r="F710" s="6" t="s">
        <v>1919</v>
      </c>
      <c r="G710" s="6" t="s">
        <v>16</v>
      </c>
      <c r="H710" s="5">
        <v>5</v>
      </c>
      <c r="I710" s="6" t="s">
        <v>1920</v>
      </c>
      <c r="J710" s="5">
        <v>510</v>
      </c>
    </row>
    <row r="711" s="2" customFormat="1" spans="1:10">
      <c r="A711" s="6">
        <f>709</f>
        <v>709</v>
      </c>
      <c r="B711" s="6" t="s">
        <v>1921</v>
      </c>
      <c r="C711" s="6" t="s">
        <v>12</v>
      </c>
      <c r="D711" s="6" t="s">
        <v>13</v>
      </c>
      <c r="E711" s="6" t="s">
        <v>1845</v>
      </c>
      <c r="F711" s="6" t="s">
        <v>1922</v>
      </c>
      <c r="G711" s="6" t="s">
        <v>16</v>
      </c>
      <c r="H711" s="5">
        <v>1</v>
      </c>
      <c r="I711" s="6" t="s">
        <v>1922</v>
      </c>
      <c r="J711" s="5">
        <v>260</v>
      </c>
    </row>
    <row r="712" s="2" customFormat="1" ht="27" spans="1:10">
      <c r="A712" s="6">
        <f>710</f>
        <v>710</v>
      </c>
      <c r="B712" s="6" t="s">
        <v>1923</v>
      </c>
      <c r="C712" s="6" t="s">
        <v>12</v>
      </c>
      <c r="D712" s="6" t="s">
        <v>13</v>
      </c>
      <c r="E712" s="6" t="s">
        <v>1845</v>
      </c>
      <c r="F712" s="6" t="s">
        <v>1924</v>
      </c>
      <c r="G712" s="6" t="s">
        <v>16</v>
      </c>
      <c r="H712" s="5">
        <v>4</v>
      </c>
      <c r="I712" s="6" t="s">
        <v>1925</v>
      </c>
      <c r="J712" s="5">
        <v>840</v>
      </c>
    </row>
    <row r="713" s="2" customFormat="1" spans="1:10">
      <c r="A713" s="6">
        <f>711</f>
        <v>711</v>
      </c>
      <c r="B713" s="6" t="s">
        <v>1926</v>
      </c>
      <c r="C713" s="6" t="s">
        <v>12</v>
      </c>
      <c r="D713" s="6" t="s">
        <v>13</v>
      </c>
      <c r="E713" s="6" t="s">
        <v>1845</v>
      </c>
      <c r="F713" s="6" t="s">
        <v>1927</v>
      </c>
      <c r="G713" s="6" t="s">
        <v>16</v>
      </c>
      <c r="H713" s="5">
        <v>1</v>
      </c>
      <c r="I713" s="6" t="s">
        <v>1927</v>
      </c>
      <c r="J713" s="5">
        <v>260</v>
      </c>
    </row>
    <row r="714" s="2" customFormat="1" ht="27" spans="1:10">
      <c r="A714" s="6">
        <f>712</f>
        <v>712</v>
      </c>
      <c r="B714" s="6" t="s">
        <v>1928</v>
      </c>
      <c r="C714" s="6" t="s">
        <v>12</v>
      </c>
      <c r="D714" s="6" t="s">
        <v>13</v>
      </c>
      <c r="E714" s="6" t="s">
        <v>1845</v>
      </c>
      <c r="F714" s="6" t="s">
        <v>1929</v>
      </c>
      <c r="G714" s="6" t="s">
        <v>16</v>
      </c>
      <c r="H714" s="5">
        <v>5</v>
      </c>
      <c r="I714" s="6" t="s">
        <v>1930</v>
      </c>
      <c r="J714" s="5">
        <v>1050</v>
      </c>
    </row>
    <row r="715" s="2" customFormat="1" spans="1:10">
      <c r="A715" s="6">
        <f>713</f>
        <v>713</v>
      </c>
      <c r="B715" s="6" t="s">
        <v>1931</v>
      </c>
      <c r="C715" s="6" t="s">
        <v>12</v>
      </c>
      <c r="D715" s="6" t="s">
        <v>13</v>
      </c>
      <c r="E715" s="6" t="s">
        <v>1845</v>
      </c>
      <c r="F715" s="6" t="s">
        <v>1932</v>
      </c>
      <c r="G715" s="6" t="s">
        <v>16</v>
      </c>
      <c r="H715" s="5">
        <v>1</v>
      </c>
      <c r="I715" s="6" t="s">
        <v>1932</v>
      </c>
      <c r="J715" s="5">
        <v>270</v>
      </c>
    </row>
    <row r="716" s="2" customFormat="1" spans="1:10">
      <c r="A716" s="6">
        <f>714</f>
        <v>714</v>
      </c>
      <c r="B716" s="6" t="s">
        <v>1933</v>
      </c>
      <c r="C716" s="6" t="s">
        <v>12</v>
      </c>
      <c r="D716" s="6" t="s">
        <v>13</v>
      </c>
      <c r="E716" s="6" t="s">
        <v>1845</v>
      </c>
      <c r="F716" s="6" t="s">
        <v>1934</v>
      </c>
      <c r="G716" s="6" t="s">
        <v>16</v>
      </c>
      <c r="H716" s="5">
        <v>1</v>
      </c>
      <c r="I716" s="6" t="s">
        <v>1934</v>
      </c>
      <c r="J716" s="5">
        <v>306</v>
      </c>
    </row>
    <row r="717" s="2" customFormat="1" spans="1:10">
      <c r="A717" s="6">
        <f>715</f>
        <v>715</v>
      </c>
      <c r="B717" s="6" t="s">
        <v>1935</v>
      </c>
      <c r="C717" s="6" t="s">
        <v>12</v>
      </c>
      <c r="D717" s="6" t="s">
        <v>13</v>
      </c>
      <c r="E717" s="6" t="s">
        <v>1845</v>
      </c>
      <c r="F717" s="6" t="s">
        <v>1936</v>
      </c>
      <c r="G717" s="6" t="s">
        <v>16</v>
      </c>
      <c r="H717" s="5">
        <v>1</v>
      </c>
      <c r="I717" s="6" t="s">
        <v>1936</v>
      </c>
      <c r="J717" s="5">
        <v>270</v>
      </c>
    </row>
    <row r="718" s="2" customFormat="1" spans="1:10">
      <c r="A718" s="6">
        <f>716</f>
        <v>716</v>
      </c>
      <c r="B718" s="6" t="s">
        <v>1937</v>
      </c>
      <c r="C718" s="6" t="s">
        <v>12</v>
      </c>
      <c r="D718" s="6" t="s">
        <v>13</v>
      </c>
      <c r="E718" s="6" t="s">
        <v>1845</v>
      </c>
      <c r="F718" s="6" t="s">
        <v>1938</v>
      </c>
      <c r="G718" s="6" t="s">
        <v>16</v>
      </c>
      <c r="H718" s="5">
        <v>1</v>
      </c>
      <c r="I718" s="6" t="s">
        <v>1938</v>
      </c>
      <c r="J718" s="5">
        <v>380</v>
      </c>
    </row>
    <row r="719" s="2" customFormat="1" spans="1:10">
      <c r="A719" s="6">
        <f>717</f>
        <v>717</v>
      </c>
      <c r="B719" s="6" t="s">
        <v>1939</v>
      </c>
      <c r="C719" s="6" t="s">
        <v>12</v>
      </c>
      <c r="D719" s="6" t="s">
        <v>13</v>
      </c>
      <c r="E719" s="6" t="s">
        <v>1845</v>
      </c>
      <c r="F719" s="6" t="s">
        <v>1940</v>
      </c>
      <c r="G719" s="6" t="s">
        <v>16</v>
      </c>
      <c r="H719" s="5">
        <v>1</v>
      </c>
      <c r="I719" s="6" t="s">
        <v>1940</v>
      </c>
      <c r="J719" s="5">
        <v>380</v>
      </c>
    </row>
    <row r="720" s="2" customFormat="1" spans="1:10">
      <c r="A720" s="6">
        <f>718</f>
        <v>718</v>
      </c>
      <c r="B720" s="6" t="s">
        <v>1941</v>
      </c>
      <c r="C720" s="6" t="s">
        <v>12</v>
      </c>
      <c r="D720" s="6" t="s">
        <v>13</v>
      </c>
      <c r="E720" s="6" t="s">
        <v>1845</v>
      </c>
      <c r="F720" s="6" t="s">
        <v>1942</v>
      </c>
      <c r="G720" s="6" t="s">
        <v>16</v>
      </c>
      <c r="H720" s="5">
        <v>1</v>
      </c>
      <c r="I720" s="6" t="s">
        <v>1942</v>
      </c>
      <c r="J720" s="5">
        <v>380</v>
      </c>
    </row>
    <row r="721" s="2" customFormat="1" spans="1:10">
      <c r="A721" s="6">
        <f>719</f>
        <v>719</v>
      </c>
      <c r="B721" s="6" t="s">
        <v>1943</v>
      </c>
      <c r="C721" s="6" t="s">
        <v>12</v>
      </c>
      <c r="D721" s="6" t="s">
        <v>13</v>
      </c>
      <c r="E721" s="6" t="s">
        <v>1845</v>
      </c>
      <c r="F721" s="6" t="s">
        <v>1944</v>
      </c>
      <c r="G721" s="6" t="s">
        <v>16</v>
      </c>
      <c r="H721" s="5">
        <v>2</v>
      </c>
      <c r="I721" s="6" t="s">
        <v>1945</v>
      </c>
      <c r="J721" s="5">
        <v>500</v>
      </c>
    </row>
    <row r="722" s="2" customFormat="1" spans="1:10">
      <c r="A722" s="6">
        <f>720</f>
        <v>720</v>
      </c>
      <c r="B722" s="6" t="s">
        <v>1946</v>
      </c>
      <c r="C722" s="6" t="s">
        <v>12</v>
      </c>
      <c r="D722" s="6" t="s">
        <v>13</v>
      </c>
      <c r="E722" s="6" t="s">
        <v>1845</v>
      </c>
      <c r="F722" s="6" t="s">
        <v>1947</v>
      </c>
      <c r="G722" s="6" t="s">
        <v>16</v>
      </c>
      <c r="H722" s="5">
        <v>1</v>
      </c>
      <c r="I722" s="6" t="s">
        <v>1947</v>
      </c>
      <c r="J722" s="5">
        <v>260</v>
      </c>
    </row>
    <row r="723" s="2" customFormat="1" spans="1:10">
      <c r="A723" s="6">
        <f>721</f>
        <v>721</v>
      </c>
      <c r="B723" s="6" t="s">
        <v>1948</v>
      </c>
      <c r="C723" s="6" t="s">
        <v>12</v>
      </c>
      <c r="D723" s="6" t="s">
        <v>13</v>
      </c>
      <c r="E723" s="6" t="s">
        <v>1845</v>
      </c>
      <c r="F723" s="6" t="s">
        <v>1949</v>
      </c>
      <c r="G723" s="6" t="s">
        <v>16</v>
      </c>
      <c r="H723" s="5">
        <v>2</v>
      </c>
      <c r="I723" s="6" t="s">
        <v>1950</v>
      </c>
      <c r="J723" s="5">
        <v>570</v>
      </c>
    </row>
    <row r="724" s="2" customFormat="1" spans="1:10">
      <c r="A724" s="6">
        <f>722</f>
        <v>722</v>
      </c>
      <c r="B724" s="6" t="s">
        <v>1951</v>
      </c>
      <c r="C724" s="6" t="s">
        <v>12</v>
      </c>
      <c r="D724" s="6" t="s">
        <v>13</v>
      </c>
      <c r="E724" s="6" t="s">
        <v>1845</v>
      </c>
      <c r="F724" s="6" t="s">
        <v>1952</v>
      </c>
      <c r="G724" s="6" t="s">
        <v>16</v>
      </c>
      <c r="H724" s="5">
        <v>2</v>
      </c>
      <c r="I724" s="6" t="s">
        <v>1953</v>
      </c>
      <c r="J724" s="5">
        <v>624</v>
      </c>
    </row>
    <row r="725" s="2" customFormat="1" spans="1:10">
      <c r="A725" s="6">
        <f>723</f>
        <v>723</v>
      </c>
      <c r="B725" s="6" t="s">
        <v>1954</v>
      </c>
      <c r="C725" s="6" t="s">
        <v>12</v>
      </c>
      <c r="D725" s="6" t="s">
        <v>13</v>
      </c>
      <c r="E725" s="6" t="s">
        <v>1845</v>
      </c>
      <c r="F725" s="6" t="s">
        <v>1955</v>
      </c>
      <c r="G725" s="6" t="s">
        <v>16</v>
      </c>
      <c r="H725" s="5">
        <v>1</v>
      </c>
      <c r="I725" s="6" t="s">
        <v>1955</v>
      </c>
      <c r="J725" s="5">
        <v>270</v>
      </c>
    </row>
    <row r="726" s="2" customFormat="1" spans="1:10">
      <c r="A726" s="6">
        <f>724</f>
        <v>724</v>
      </c>
      <c r="B726" s="6" t="s">
        <v>1956</v>
      </c>
      <c r="C726" s="6" t="s">
        <v>12</v>
      </c>
      <c r="D726" s="6" t="s">
        <v>13</v>
      </c>
      <c r="E726" s="6" t="s">
        <v>1845</v>
      </c>
      <c r="F726" s="6" t="s">
        <v>1957</v>
      </c>
      <c r="G726" s="6" t="s">
        <v>16</v>
      </c>
      <c r="H726" s="5">
        <v>1</v>
      </c>
      <c r="I726" s="6" t="s">
        <v>1957</v>
      </c>
      <c r="J726" s="5">
        <v>270</v>
      </c>
    </row>
    <row r="727" s="2" customFormat="1" spans="1:10">
      <c r="A727" s="6">
        <f>725</f>
        <v>725</v>
      </c>
      <c r="B727" s="6" t="s">
        <v>1958</v>
      </c>
      <c r="C727" s="6" t="s">
        <v>12</v>
      </c>
      <c r="D727" s="6" t="s">
        <v>13</v>
      </c>
      <c r="E727" s="6" t="s">
        <v>1845</v>
      </c>
      <c r="F727" s="6" t="s">
        <v>1959</v>
      </c>
      <c r="G727" s="6" t="s">
        <v>16</v>
      </c>
      <c r="H727" s="5">
        <v>2</v>
      </c>
      <c r="I727" s="6" t="s">
        <v>1960</v>
      </c>
      <c r="J727" s="5">
        <v>920</v>
      </c>
    </row>
    <row r="728" s="2" customFormat="1" spans="1:10">
      <c r="A728" s="6">
        <f>726</f>
        <v>726</v>
      </c>
      <c r="B728" s="6" t="s">
        <v>1961</v>
      </c>
      <c r="C728" s="6" t="s">
        <v>12</v>
      </c>
      <c r="D728" s="6" t="s">
        <v>13</v>
      </c>
      <c r="E728" s="6" t="s">
        <v>1845</v>
      </c>
      <c r="F728" s="6" t="s">
        <v>1962</v>
      </c>
      <c r="G728" s="6" t="s">
        <v>16</v>
      </c>
      <c r="H728" s="5">
        <v>3</v>
      </c>
      <c r="I728" s="6" t="s">
        <v>1963</v>
      </c>
      <c r="J728" s="5">
        <v>560</v>
      </c>
    </row>
    <row r="729" s="2" customFormat="1" spans="1:10">
      <c r="A729" s="6">
        <f>727</f>
        <v>727</v>
      </c>
      <c r="B729" s="6" t="s">
        <v>1964</v>
      </c>
      <c r="C729" s="6" t="s">
        <v>12</v>
      </c>
      <c r="D729" s="6" t="s">
        <v>13</v>
      </c>
      <c r="E729" s="6" t="s">
        <v>1845</v>
      </c>
      <c r="F729" s="6" t="s">
        <v>1965</v>
      </c>
      <c r="G729" s="6" t="s">
        <v>16</v>
      </c>
      <c r="H729" s="5">
        <v>2</v>
      </c>
      <c r="I729" s="6" t="s">
        <v>1966</v>
      </c>
      <c r="J729" s="5">
        <v>600</v>
      </c>
    </row>
    <row r="730" s="2" customFormat="1" spans="1:10">
      <c r="A730" s="6">
        <f>728</f>
        <v>728</v>
      </c>
      <c r="B730" s="6" t="s">
        <v>1967</v>
      </c>
      <c r="C730" s="6" t="s">
        <v>12</v>
      </c>
      <c r="D730" s="6" t="s">
        <v>13</v>
      </c>
      <c r="E730" s="6" t="s">
        <v>1845</v>
      </c>
      <c r="F730" s="6" t="s">
        <v>1968</v>
      </c>
      <c r="G730" s="6" t="s">
        <v>16</v>
      </c>
      <c r="H730" s="5">
        <v>1</v>
      </c>
      <c r="I730" s="6" t="s">
        <v>1968</v>
      </c>
      <c r="J730" s="5">
        <v>360</v>
      </c>
    </row>
    <row r="731" s="2" customFormat="1" spans="1:10">
      <c r="A731" s="6">
        <f>729</f>
        <v>729</v>
      </c>
      <c r="B731" s="6" t="s">
        <v>1969</v>
      </c>
      <c r="C731" s="6" t="s">
        <v>12</v>
      </c>
      <c r="D731" s="6" t="s">
        <v>13</v>
      </c>
      <c r="E731" s="6" t="s">
        <v>1845</v>
      </c>
      <c r="F731" s="6" t="s">
        <v>1970</v>
      </c>
      <c r="G731" s="6" t="s">
        <v>16</v>
      </c>
      <c r="H731" s="5">
        <v>1</v>
      </c>
      <c r="I731" s="6" t="s">
        <v>1970</v>
      </c>
      <c r="J731" s="5">
        <v>390</v>
      </c>
    </row>
    <row r="732" s="2" customFormat="1" ht="27" spans="1:10">
      <c r="A732" s="6">
        <f>730</f>
        <v>730</v>
      </c>
      <c r="B732" s="6" t="s">
        <v>1971</v>
      </c>
      <c r="C732" s="6" t="s">
        <v>12</v>
      </c>
      <c r="D732" s="6" t="s">
        <v>13</v>
      </c>
      <c r="E732" s="6" t="s">
        <v>1972</v>
      </c>
      <c r="F732" s="6" t="s">
        <v>1973</v>
      </c>
      <c r="G732" s="6" t="s">
        <v>16</v>
      </c>
      <c r="H732" s="5">
        <v>4</v>
      </c>
      <c r="I732" s="6" t="s">
        <v>1974</v>
      </c>
      <c r="J732" s="5">
        <v>800</v>
      </c>
    </row>
    <row r="733" s="2" customFormat="1" ht="27" spans="1:10">
      <c r="A733" s="6">
        <f>731</f>
        <v>731</v>
      </c>
      <c r="B733" s="6" t="s">
        <v>1975</v>
      </c>
      <c r="C733" s="6" t="s">
        <v>12</v>
      </c>
      <c r="D733" s="6" t="s">
        <v>13</v>
      </c>
      <c r="E733" s="6" t="s">
        <v>1972</v>
      </c>
      <c r="F733" s="6" t="s">
        <v>1976</v>
      </c>
      <c r="G733" s="6" t="s">
        <v>16</v>
      </c>
      <c r="H733" s="5">
        <v>5</v>
      </c>
      <c r="I733" s="6" t="s">
        <v>1977</v>
      </c>
      <c r="J733" s="5">
        <v>750</v>
      </c>
    </row>
    <row r="734" s="2" customFormat="1" spans="1:10">
      <c r="A734" s="6">
        <f>732</f>
        <v>732</v>
      </c>
      <c r="B734" s="6" t="s">
        <v>1978</v>
      </c>
      <c r="C734" s="6" t="s">
        <v>12</v>
      </c>
      <c r="D734" s="6" t="s">
        <v>13</v>
      </c>
      <c r="E734" s="6" t="s">
        <v>1972</v>
      </c>
      <c r="F734" s="6" t="s">
        <v>1979</v>
      </c>
      <c r="G734" s="6" t="s">
        <v>16</v>
      </c>
      <c r="H734" s="5">
        <v>1</v>
      </c>
      <c r="I734" s="6" t="s">
        <v>1979</v>
      </c>
      <c r="J734" s="5">
        <v>520</v>
      </c>
    </row>
    <row r="735" s="2" customFormat="1" ht="27" spans="1:10">
      <c r="A735" s="6">
        <f>733</f>
        <v>733</v>
      </c>
      <c r="B735" s="6" t="s">
        <v>1980</v>
      </c>
      <c r="C735" s="6" t="s">
        <v>12</v>
      </c>
      <c r="D735" s="6" t="s">
        <v>13</v>
      </c>
      <c r="E735" s="6" t="s">
        <v>1972</v>
      </c>
      <c r="F735" s="6" t="s">
        <v>1981</v>
      </c>
      <c r="G735" s="6" t="s">
        <v>16</v>
      </c>
      <c r="H735" s="5">
        <v>4</v>
      </c>
      <c r="I735" s="6" t="s">
        <v>1982</v>
      </c>
      <c r="J735" s="5">
        <v>480</v>
      </c>
    </row>
    <row r="736" s="2" customFormat="1" spans="1:10">
      <c r="A736" s="6">
        <f>734</f>
        <v>734</v>
      </c>
      <c r="B736" s="6" t="s">
        <v>1983</v>
      </c>
      <c r="C736" s="6" t="s">
        <v>12</v>
      </c>
      <c r="D736" s="6" t="s">
        <v>13</v>
      </c>
      <c r="E736" s="6" t="s">
        <v>1972</v>
      </c>
      <c r="F736" s="6" t="s">
        <v>1984</v>
      </c>
      <c r="G736" s="6" t="s">
        <v>16</v>
      </c>
      <c r="H736" s="5">
        <v>2</v>
      </c>
      <c r="I736" s="6" t="s">
        <v>1985</v>
      </c>
      <c r="J736" s="5">
        <v>840</v>
      </c>
    </row>
    <row r="737" s="2" customFormat="1" spans="1:10">
      <c r="A737" s="6">
        <f>735</f>
        <v>735</v>
      </c>
      <c r="B737" s="6" t="s">
        <v>1986</v>
      </c>
      <c r="C737" s="6" t="s">
        <v>12</v>
      </c>
      <c r="D737" s="6" t="s">
        <v>13</v>
      </c>
      <c r="E737" s="6" t="s">
        <v>1972</v>
      </c>
      <c r="F737" s="6" t="s">
        <v>1987</v>
      </c>
      <c r="G737" s="6" t="s">
        <v>16</v>
      </c>
      <c r="H737" s="5">
        <v>2</v>
      </c>
      <c r="I737" s="6" t="s">
        <v>1988</v>
      </c>
      <c r="J737" s="5">
        <v>600</v>
      </c>
    </row>
    <row r="738" s="2" customFormat="1" spans="1:10">
      <c r="A738" s="6">
        <f>736</f>
        <v>736</v>
      </c>
      <c r="B738" s="6" t="s">
        <v>1989</v>
      </c>
      <c r="C738" s="6" t="s">
        <v>12</v>
      </c>
      <c r="D738" s="6" t="s">
        <v>13</v>
      </c>
      <c r="E738" s="6" t="s">
        <v>1972</v>
      </c>
      <c r="F738" s="6" t="s">
        <v>1990</v>
      </c>
      <c r="G738" s="6" t="s">
        <v>16</v>
      </c>
      <c r="H738" s="5">
        <v>2</v>
      </c>
      <c r="I738" s="6" t="s">
        <v>1991</v>
      </c>
      <c r="J738" s="5">
        <v>840</v>
      </c>
    </row>
    <row r="739" s="2" customFormat="1" ht="27" spans="1:10">
      <c r="A739" s="6">
        <f>737</f>
        <v>737</v>
      </c>
      <c r="B739" s="6" t="s">
        <v>1992</v>
      </c>
      <c r="C739" s="6" t="s">
        <v>12</v>
      </c>
      <c r="D739" s="6" t="s">
        <v>13</v>
      </c>
      <c r="E739" s="6" t="s">
        <v>1972</v>
      </c>
      <c r="F739" s="6" t="s">
        <v>1993</v>
      </c>
      <c r="G739" s="6" t="s">
        <v>16</v>
      </c>
      <c r="H739" s="5">
        <v>5</v>
      </c>
      <c r="I739" s="6" t="s">
        <v>1994</v>
      </c>
      <c r="J739" s="5">
        <v>1200</v>
      </c>
    </row>
    <row r="740" s="2" customFormat="1" spans="1:10">
      <c r="A740" s="6">
        <f>738</f>
        <v>738</v>
      </c>
      <c r="B740" s="6" t="s">
        <v>1995</v>
      </c>
      <c r="C740" s="6" t="s">
        <v>12</v>
      </c>
      <c r="D740" s="6" t="s">
        <v>13</v>
      </c>
      <c r="E740" s="6" t="s">
        <v>1972</v>
      </c>
      <c r="F740" s="6" t="s">
        <v>1996</v>
      </c>
      <c r="G740" s="6" t="s">
        <v>16</v>
      </c>
      <c r="H740" s="5">
        <v>3</v>
      </c>
      <c r="I740" s="6" t="s">
        <v>1997</v>
      </c>
      <c r="J740" s="5">
        <v>720</v>
      </c>
    </row>
    <row r="741" s="2" customFormat="1" spans="1:10">
      <c r="A741" s="6">
        <f>739</f>
        <v>739</v>
      </c>
      <c r="B741" s="6" t="s">
        <v>1998</v>
      </c>
      <c r="C741" s="6" t="s">
        <v>12</v>
      </c>
      <c r="D741" s="6" t="s">
        <v>13</v>
      </c>
      <c r="E741" s="6" t="s">
        <v>1972</v>
      </c>
      <c r="F741" s="6" t="s">
        <v>1999</v>
      </c>
      <c r="G741" s="6" t="s">
        <v>16</v>
      </c>
      <c r="H741" s="5">
        <v>1</v>
      </c>
      <c r="I741" s="6" t="s">
        <v>1999</v>
      </c>
      <c r="J741" s="5">
        <v>248</v>
      </c>
    </row>
    <row r="742" s="2" customFormat="1" ht="27" spans="1:10">
      <c r="A742" s="6">
        <f>740</f>
        <v>740</v>
      </c>
      <c r="B742" s="6" t="s">
        <v>2000</v>
      </c>
      <c r="C742" s="6" t="s">
        <v>12</v>
      </c>
      <c r="D742" s="6" t="s">
        <v>13</v>
      </c>
      <c r="E742" s="6" t="s">
        <v>1972</v>
      </c>
      <c r="F742" s="6" t="s">
        <v>2001</v>
      </c>
      <c r="G742" s="6" t="s">
        <v>16</v>
      </c>
      <c r="H742" s="5">
        <v>5</v>
      </c>
      <c r="I742" s="6" t="s">
        <v>2002</v>
      </c>
      <c r="J742" s="5">
        <v>700</v>
      </c>
    </row>
    <row r="743" s="2" customFormat="1" ht="27" spans="1:10">
      <c r="A743" s="6">
        <f>741</f>
        <v>741</v>
      </c>
      <c r="B743" s="6" t="s">
        <v>2003</v>
      </c>
      <c r="C743" s="6" t="s">
        <v>12</v>
      </c>
      <c r="D743" s="6" t="s">
        <v>13</v>
      </c>
      <c r="E743" s="6" t="s">
        <v>1972</v>
      </c>
      <c r="F743" s="6" t="s">
        <v>2004</v>
      </c>
      <c r="G743" s="6" t="s">
        <v>16</v>
      </c>
      <c r="H743" s="5">
        <v>4</v>
      </c>
      <c r="I743" s="6" t="s">
        <v>2005</v>
      </c>
      <c r="J743" s="5">
        <v>730</v>
      </c>
    </row>
    <row r="744" s="2" customFormat="1" spans="1:10">
      <c r="A744" s="6">
        <f>742</f>
        <v>742</v>
      </c>
      <c r="B744" s="6" t="s">
        <v>2006</v>
      </c>
      <c r="C744" s="6" t="s">
        <v>12</v>
      </c>
      <c r="D744" s="6" t="s">
        <v>13</v>
      </c>
      <c r="E744" s="6" t="s">
        <v>1972</v>
      </c>
      <c r="F744" s="6" t="s">
        <v>2007</v>
      </c>
      <c r="G744" s="6" t="s">
        <v>16</v>
      </c>
      <c r="H744" s="5">
        <v>2</v>
      </c>
      <c r="I744" s="6" t="s">
        <v>2008</v>
      </c>
      <c r="J744" s="5">
        <v>400</v>
      </c>
    </row>
    <row r="745" s="2" customFormat="1" spans="1:10">
      <c r="A745" s="6">
        <f>743</f>
        <v>743</v>
      </c>
      <c r="B745" s="6" t="s">
        <v>2009</v>
      </c>
      <c r="C745" s="6" t="s">
        <v>12</v>
      </c>
      <c r="D745" s="6" t="s">
        <v>13</v>
      </c>
      <c r="E745" s="6" t="s">
        <v>1972</v>
      </c>
      <c r="F745" s="6" t="s">
        <v>2010</v>
      </c>
      <c r="G745" s="6" t="s">
        <v>16</v>
      </c>
      <c r="H745" s="5">
        <v>3</v>
      </c>
      <c r="I745" s="6" t="s">
        <v>2011</v>
      </c>
      <c r="J745" s="5">
        <v>660</v>
      </c>
    </row>
    <row r="746" s="2" customFormat="1" ht="27" spans="1:10">
      <c r="A746" s="6">
        <f>744</f>
        <v>744</v>
      </c>
      <c r="B746" s="6" t="s">
        <v>2012</v>
      </c>
      <c r="C746" s="6" t="s">
        <v>12</v>
      </c>
      <c r="D746" s="6" t="s">
        <v>13</v>
      </c>
      <c r="E746" s="6" t="s">
        <v>1972</v>
      </c>
      <c r="F746" s="6" t="s">
        <v>2013</v>
      </c>
      <c r="G746" s="6" t="s">
        <v>16</v>
      </c>
      <c r="H746" s="5">
        <v>4</v>
      </c>
      <c r="I746" s="6" t="s">
        <v>2014</v>
      </c>
      <c r="J746" s="5">
        <v>680</v>
      </c>
    </row>
    <row r="747" s="2" customFormat="1" spans="1:10">
      <c r="A747" s="6">
        <f>745</f>
        <v>745</v>
      </c>
      <c r="B747" s="6" t="s">
        <v>2015</v>
      </c>
      <c r="C747" s="6" t="s">
        <v>12</v>
      </c>
      <c r="D747" s="6" t="s">
        <v>13</v>
      </c>
      <c r="E747" s="6" t="s">
        <v>1972</v>
      </c>
      <c r="F747" s="6" t="s">
        <v>2016</v>
      </c>
      <c r="G747" s="6" t="s">
        <v>16</v>
      </c>
      <c r="H747" s="5">
        <v>1</v>
      </c>
      <c r="I747" s="6" t="s">
        <v>2016</v>
      </c>
      <c r="J747" s="5">
        <v>198</v>
      </c>
    </row>
    <row r="748" s="2" customFormat="1" spans="1:10">
      <c r="A748" s="6">
        <f>746</f>
        <v>746</v>
      </c>
      <c r="B748" s="6" t="s">
        <v>2017</v>
      </c>
      <c r="C748" s="6" t="s">
        <v>12</v>
      </c>
      <c r="D748" s="6" t="s">
        <v>13</v>
      </c>
      <c r="E748" s="6" t="s">
        <v>1972</v>
      </c>
      <c r="F748" s="6" t="s">
        <v>2018</v>
      </c>
      <c r="G748" s="6" t="s">
        <v>16</v>
      </c>
      <c r="H748" s="5">
        <v>2</v>
      </c>
      <c r="I748" s="6" t="s">
        <v>2019</v>
      </c>
      <c r="J748" s="5">
        <v>610</v>
      </c>
    </row>
    <row r="749" s="2" customFormat="1" spans="1:10">
      <c r="A749" s="6">
        <f>747</f>
        <v>747</v>
      </c>
      <c r="B749" s="6" t="s">
        <v>2020</v>
      </c>
      <c r="C749" s="6" t="s">
        <v>12</v>
      </c>
      <c r="D749" s="6" t="s">
        <v>13</v>
      </c>
      <c r="E749" s="6" t="s">
        <v>1972</v>
      </c>
      <c r="F749" s="6" t="s">
        <v>2021</v>
      </c>
      <c r="G749" s="6" t="s">
        <v>16</v>
      </c>
      <c r="H749" s="5">
        <v>1</v>
      </c>
      <c r="I749" s="6" t="s">
        <v>2021</v>
      </c>
      <c r="J749" s="5">
        <v>406</v>
      </c>
    </row>
    <row r="750" s="2" customFormat="1" ht="27" spans="1:10">
      <c r="A750" s="6">
        <f>748</f>
        <v>748</v>
      </c>
      <c r="B750" s="6" t="s">
        <v>2022</v>
      </c>
      <c r="C750" s="6" t="s">
        <v>12</v>
      </c>
      <c r="D750" s="6" t="s">
        <v>13</v>
      </c>
      <c r="E750" s="6" t="s">
        <v>1972</v>
      </c>
      <c r="F750" s="6" t="s">
        <v>2023</v>
      </c>
      <c r="G750" s="6" t="s">
        <v>16</v>
      </c>
      <c r="H750" s="5">
        <v>4</v>
      </c>
      <c r="I750" s="6" t="s">
        <v>2024</v>
      </c>
      <c r="J750" s="5">
        <v>800</v>
      </c>
    </row>
    <row r="751" s="2" customFormat="1" spans="1:10">
      <c r="A751" s="6">
        <f>749</f>
        <v>749</v>
      </c>
      <c r="B751" s="6" t="s">
        <v>2025</v>
      </c>
      <c r="C751" s="6" t="s">
        <v>12</v>
      </c>
      <c r="D751" s="6" t="s">
        <v>13</v>
      </c>
      <c r="E751" s="6" t="s">
        <v>1972</v>
      </c>
      <c r="F751" s="6" t="s">
        <v>2026</v>
      </c>
      <c r="G751" s="6" t="s">
        <v>16</v>
      </c>
      <c r="H751" s="5">
        <v>1</v>
      </c>
      <c r="I751" s="6" t="s">
        <v>2026</v>
      </c>
      <c r="J751" s="5">
        <v>210</v>
      </c>
    </row>
    <row r="752" s="2" customFormat="1" ht="27" spans="1:10">
      <c r="A752" s="6">
        <f>750</f>
        <v>750</v>
      </c>
      <c r="B752" s="6" t="s">
        <v>2027</v>
      </c>
      <c r="C752" s="6" t="s">
        <v>12</v>
      </c>
      <c r="D752" s="6" t="s">
        <v>13</v>
      </c>
      <c r="E752" s="6" t="s">
        <v>1972</v>
      </c>
      <c r="F752" s="6" t="s">
        <v>2028</v>
      </c>
      <c r="G752" s="6" t="s">
        <v>16</v>
      </c>
      <c r="H752" s="5">
        <v>4</v>
      </c>
      <c r="I752" s="6" t="s">
        <v>2029</v>
      </c>
      <c r="J752" s="5">
        <v>860</v>
      </c>
    </row>
    <row r="753" s="2" customFormat="1" spans="1:10">
      <c r="A753" s="6">
        <f>751</f>
        <v>751</v>
      </c>
      <c r="B753" s="6" t="s">
        <v>2030</v>
      </c>
      <c r="C753" s="6" t="s">
        <v>12</v>
      </c>
      <c r="D753" s="6" t="s">
        <v>13</v>
      </c>
      <c r="E753" s="6" t="s">
        <v>1972</v>
      </c>
      <c r="F753" s="6" t="s">
        <v>2031</v>
      </c>
      <c r="G753" s="6" t="s">
        <v>16</v>
      </c>
      <c r="H753" s="5">
        <v>1</v>
      </c>
      <c r="I753" s="6" t="s">
        <v>2031</v>
      </c>
      <c r="J753" s="5">
        <v>280</v>
      </c>
    </row>
    <row r="754" s="2" customFormat="1" spans="1:10">
      <c r="A754" s="6">
        <f>752</f>
        <v>752</v>
      </c>
      <c r="B754" s="6" t="s">
        <v>2032</v>
      </c>
      <c r="C754" s="6" t="s">
        <v>12</v>
      </c>
      <c r="D754" s="6" t="s">
        <v>13</v>
      </c>
      <c r="E754" s="6" t="s">
        <v>1972</v>
      </c>
      <c r="F754" s="6" t="s">
        <v>2033</v>
      </c>
      <c r="G754" s="6" t="s">
        <v>16</v>
      </c>
      <c r="H754" s="5">
        <v>1</v>
      </c>
      <c r="I754" s="6" t="s">
        <v>2033</v>
      </c>
      <c r="J754" s="5">
        <v>198</v>
      </c>
    </row>
    <row r="755" s="2" customFormat="1" spans="1:10">
      <c r="A755" s="6">
        <f>753</f>
        <v>753</v>
      </c>
      <c r="B755" s="6" t="s">
        <v>2034</v>
      </c>
      <c r="C755" s="6" t="s">
        <v>12</v>
      </c>
      <c r="D755" s="6" t="s">
        <v>13</v>
      </c>
      <c r="E755" s="6" t="s">
        <v>1972</v>
      </c>
      <c r="F755" s="6" t="s">
        <v>2035</v>
      </c>
      <c r="G755" s="6" t="s">
        <v>16</v>
      </c>
      <c r="H755" s="5">
        <v>1</v>
      </c>
      <c r="I755" s="6" t="s">
        <v>2035</v>
      </c>
      <c r="J755" s="5">
        <v>210</v>
      </c>
    </row>
    <row r="756" s="2" customFormat="1" spans="1:10">
      <c r="A756" s="6">
        <f>754</f>
        <v>754</v>
      </c>
      <c r="B756" s="6" t="s">
        <v>2036</v>
      </c>
      <c r="C756" s="6" t="s">
        <v>12</v>
      </c>
      <c r="D756" s="6" t="s">
        <v>13</v>
      </c>
      <c r="E756" s="6" t="s">
        <v>1972</v>
      </c>
      <c r="F756" s="6" t="s">
        <v>2037</v>
      </c>
      <c r="G756" s="6" t="s">
        <v>16</v>
      </c>
      <c r="H756" s="5">
        <v>1</v>
      </c>
      <c r="I756" s="6" t="s">
        <v>2037</v>
      </c>
      <c r="J756" s="5">
        <v>460</v>
      </c>
    </row>
    <row r="757" s="2" customFormat="1" spans="1:10">
      <c r="A757" s="6">
        <f>755</f>
        <v>755</v>
      </c>
      <c r="B757" s="6" t="s">
        <v>2038</v>
      </c>
      <c r="C757" s="6" t="s">
        <v>12</v>
      </c>
      <c r="D757" s="6" t="s">
        <v>13</v>
      </c>
      <c r="E757" s="6" t="s">
        <v>1972</v>
      </c>
      <c r="F757" s="6" t="s">
        <v>2039</v>
      </c>
      <c r="G757" s="6" t="s">
        <v>16</v>
      </c>
      <c r="H757" s="5">
        <v>1</v>
      </c>
      <c r="I757" s="6" t="s">
        <v>2039</v>
      </c>
      <c r="J757" s="5">
        <v>210</v>
      </c>
    </row>
    <row r="758" s="2" customFormat="1" spans="1:10">
      <c r="A758" s="6">
        <f>756</f>
        <v>756</v>
      </c>
      <c r="B758" s="6" t="s">
        <v>2040</v>
      </c>
      <c r="C758" s="6" t="s">
        <v>12</v>
      </c>
      <c r="D758" s="6" t="s">
        <v>13</v>
      </c>
      <c r="E758" s="6" t="s">
        <v>1972</v>
      </c>
      <c r="F758" s="6" t="s">
        <v>2041</v>
      </c>
      <c r="G758" s="6" t="s">
        <v>16</v>
      </c>
      <c r="H758" s="5">
        <v>1</v>
      </c>
      <c r="I758" s="6" t="s">
        <v>2041</v>
      </c>
      <c r="J758" s="5">
        <v>380</v>
      </c>
    </row>
    <row r="759" s="2" customFormat="1" spans="1:10">
      <c r="A759" s="6">
        <f>757</f>
        <v>757</v>
      </c>
      <c r="B759" s="6" t="s">
        <v>2042</v>
      </c>
      <c r="C759" s="6" t="s">
        <v>12</v>
      </c>
      <c r="D759" s="6" t="s">
        <v>13</v>
      </c>
      <c r="E759" s="6" t="s">
        <v>1972</v>
      </c>
      <c r="F759" s="6" t="s">
        <v>2043</v>
      </c>
      <c r="G759" s="6" t="s">
        <v>16</v>
      </c>
      <c r="H759" s="5">
        <v>1</v>
      </c>
      <c r="I759" s="6" t="s">
        <v>2043</v>
      </c>
      <c r="J759" s="5">
        <v>220</v>
      </c>
    </row>
    <row r="760" s="2" customFormat="1" spans="1:10">
      <c r="A760" s="6">
        <f>758</f>
        <v>758</v>
      </c>
      <c r="B760" s="6" t="s">
        <v>2044</v>
      </c>
      <c r="C760" s="6" t="s">
        <v>12</v>
      </c>
      <c r="D760" s="6" t="s">
        <v>13</v>
      </c>
      <c r="E760" s="6" t="s">
        <v>1972</v>
      </c>
      <c r="F760" s="6" t="s">
        <v>2045</v>
      </c>
      <c r="G760" s="6" t="s">
        <v>16</v>
      </c>
      <c r="H760" s="5">
        <v>1</v>
      </c>
      <c r="I760" s="6" t="s">
        <v>2045</v>
      </c>
      <c r="J760" s="5">
        <v>540</v>
      </c>
    </row>
    <row r="761" s="2" customFormat="1" spans="1:10">
      <c r="A761" s="6">
        <f>759</f>
        <v>759</v>
      </c>
      <c r="B761" s="6" t="s">
        <v>2046</v>
      </c>
      <c r="C761" s="6" t="s">
        <v>12</v>
      </c>
      <c r="D761" s="6" t="s">
        <v>13</v>
      </c>
      <c r="E761" s="6" t="s">
        <v>1972</v>
      </c>
      <c r="F761" s="6" t="s">
        <v>2047</v>
      </c>
      <c r="G761" s="6" t="s">
        <v>16</v>
      </c>
      <c r="H761" s="5">
        <v>1</v>
      </c>
      <c r="I761" s="6" t="s">
        <v>2047</v>
      </c>
      <c r="J761" s="5">
        <v>360</v>
      </c>
    </row>
    <row r="762" s="2" customFormat="1" spans="1:10">
      <c r="A762" s="6">
        <f>760</f>
        <v>760</v>
      </c>
      <c r="B762" s="6" t="s">
        <v>2048</v>
      </c>
      <c r="C762" s="6" t="s">
        <v>12</v>
      </c>
      <c r="D762" s="6" t="s">
        <v>13</v>
      </c>
      <c r="E762" s="6" t="s">
        <v>1972</v>
      </c>
      <c r="F762" s="6" t="s">
        <v>2049</v>
      </c>
      <c r="G762" s="6" t="s">
        <v>16</v>
      </c>
      <c r="H762" s="5">
        <v>1</v>
      </c>
      <c r="I762" s="6" t="s">
        <v>2049</v>
      </c>
      <c r="J762" s="5">
        <v>198</v>
      </c>
    </row>
    <row r="763" s="2" customFormat="1" spans="1:10">
      <c r="A763" s="6">
        <f>761</f>
        <v>761</v>
      </c>
      <c r="B763" s="6" t="s">
        <v>2050</v>
      </c>
      <c r="C763" s="6" t="s">
        <v>12</v>
      </c>
      <c r="D763" s="6" t="s">
        <v>13</v>
      </c>
      <c r="E763" s="6" t="s">
        <v>1972</v>
      </c>
      <c r="F763" s="6" t="s">
        <v>2051</v>
      </c>
      <c r="G763" s="6" t="s">
        <v>16</v>
      </c>
      <c r="H763" s="5">
        <v>1</v>
      </c>
      <c r="I763" s="6" t="s">
        <v>2051</v>
      </c>
      <c r="J763" s="5">
        <v>560</v>
      </c>
    </row>
    <row r="764" s="2" customFormat="1" spans="1:10">
      <c r="A764" s="6">
        <f>762</f>
        <v>762</v>
      </c>
      <c r="B764" s="6" t="s">
        <v>2052</v>
      </c>
      <c r="C764" s="6" t="s">
        <v>12</v>
      </c>
      <c r="D764" s="6" t="s">
        <v>13</v>
      </c>
      <c r="E764" s="6" t="s">
        <v>1972</v>
      </c>
      <c r="F764" s="6" t="s">
        <v>2053</v>
      </c>
      <c r="G764" s="6" t="s">
        <v>16</v>
      </c>
      <c r="H764" s="5">
        <v>1</v>
      </c>
      <c r="I764" s="6" t="s">
        <v>2053</v>
      </c>
      <c r="J764" s="5">
        <v>400</v>
      </c>
    </row>
    <row r="765" s="2" customFormat="1" spans="1:10">
      <c r="A765" s="6">
        <f>763</f>
        <v>763</v>
      </c>
      <c r="B765" s="6" t="s">
        <v>2054</v>
      </c>
      <c r="C765" s="6" t="s">
        <v>12</v>
      </c>
      <c r="D765" s="6" t="s">
        <v>13</v>
      </c>
      <c r="E765" s="6" t="s">
        <v>1972</v>
      </c>
      <c r="F765" s="6" t="s">
        <v>2055</v>
      </c>
      <c r="G765" s="6" t="s">
        <v>16</v>
      </c>
      <c r="H765" s="5">
        <v>2</v>
      </c>
      <c r="I765" s="6" t="s">
        <v>2056</v>
      </c>
      <c r="J765" s="5">
        <v>940</v>
      </c>
    </row>
    <row r="766" s="2" customFormat="1" spans="1:10">
      <c r="A766" s="6">
        <f>764</f>
        <v>764</v>
      </c>
      <c r="B766" s="6" t="s">
        <v>2057</v>
      </c>
      <c r="C766" s="6" t="s">
        <v>12</v>
      </c>
      <c r="D766" s="6" t="s">
        <v>13</v>
      </c>
      <c r="E766" s="6" t="s">
        <v>1972</v>
      </c>
      <c r="F766" s="6" t="s">
        <v>2058</v>
      </c>
      <c r="G766" s="6" t="s">
        <v>16</v>
      </c>
      <c r="H766" s="5">
        <v>2</v>
      </c>
      <c r="I766" s="6" t="s">
        <v>2059</v>
      </c>
      <c r="J766" s="5">
        <v>506</v>
      </c>
    </row>
    <row r="767" s="2" customFormat="1" spans="1:10">
      <c r="A767" s="6">
        <f>765</f>
        <v>765</v>
      </c>
      <c r="B767" s="6" t="s">
        <v>2060</v>
      </c>
      <c r="C767" s="6" t="s">
        <v>12</v>
      </c>
      <c r="D767" s="6" t="s">
        <v>13</v>
      </c>
      <c r="E767" s="6" t="s">
        <v>2061</v>
      </c>
      <c r="F767" s="6" t="s">
        <v>2062</v>
      </c>
      <c r="G767" s="6" t="s">
        <v>16</v>
      </c>
      <c r="H767" s="5">
        <v>3</v>
      </c>
      <c r="I767" s="6" t="s">
        <v>2063</v>
      </c>
      <c r="J767" s="5">
        <v>1020</v>
      </c>
    </row>
    <row r="768" s="2" customFormat="1" ht="27" spans="1:10">
      <c r="A768" s="6">
        <f>766</f>
        <v>766</v>
      </c>
      <c r="B768" s="6" t="s">
        <v>2064</v>
      </c>
      <c r="C768" s="6" t="s">
        <v>12</v>
      </c>
      <c r="D768" s="6" t="s">
        <v>13</v>
      </c>
      <c r="E768" s="6" t="s">
        <v>2061</v>
      </c>
      <c r="F768" s="6" t="s">
        <v>2065</v>
      </c>
      <c r="G768" s="6" t="s">
        <v>16</v>
      </c>
      <c r="H768" s="5">
        <v>5</v>
      </c>
      <c r="I768" s="6" t="s">
        <v>2066</v>
      </c>
      <c r="J768" s="5">
        <v>1000</v>
      </c>
    </row>
    <row r="769" s="2" customFormat="1" spans="1:10">
      <c r="A769" s="6">
        <f>767</f>
        <v>767</v>
      </c>
      <c r="B769" s="6" t="s">
        <v>2067</v>
      </c>
      <c r="C769" s="6" t="s">
        <v>12</v>
      </c>
      <c r="D769" s="6" t="s">
        <v>13</v>
      </c>
      <c r="E769" s="6" t="s">
        <v>2068</v>
      </c>
      <c r="F769" s="6" t="s">
        <v>2069</v>
      </c>
      <c r="G769" s="6" t="s">
        <v>16</v>
      </c>
      <c r="H769" s="5">
        <v>3</v>
      </c>
      <c r="I769" s="6" t="s">
        <v>2070</v>
      </c>
      <c r="J769" s="5">
        <v>690</v>
      </c>
    </row>
    <row r="770" s="2" customFormat="1" spans="1:10">
      <c r="A770" s="6">
        <f>768</f>
        <v>768</v>
      </c>
      <c r="B770" s="6" t="s">
        <v>2071</v>
      </c>
      <c r="C770" s="6" t="s">
        <v>12</v>
      </c>
      <c r="D770" s="6" t="s">
        <v>13</v>
      </c>
      <c r="E770" s="6" t="s">
        <v>2072</v>
      </c>
      <c r="F770" s="6" t="s">
        <v>2073</v>
      </c>
      <c r="G770" s="6" t="s">
        <v>16</v>
      </c>
      <c r="H770" s="5">
        <v>2</v>
      </c>
      <c r="I770" s="6" t="s">
        <v>2074</v>
      </c>
      <c r="J770" s="5">
        <v>470</v>
      </c>
    </row>
    <row r="771" s="2" customFormat="1" spans="1:10">
      <c r="A771" s="6">
        <f>769</f>
        <v>769</v>
      </c>
      <c r="B771" s="6" t="s">
        <v>2075</v>
      </c>
      <c r="C771" s="6" t="s">
        <v>12</v>
      </c>
      <c r="D771" s="6" t="s">
        <v>13</v>
      </c>
      <c r="E771" s="6" t="s">
        <v>2072</v>
      </c>
      <c r="F771" s="6" t="s">
        <v>2076</v>
      </c>
      <c r="G771" s="6" t="s">
        <v>16</v>
      </c>
      <c r="H771" s="5">
        <v>2</v>
      </c>
      <c r="I771" s="6" t="s">
        <v>2077</v>
      </c>
      <c r="J771" s="5">
        <v>1146</v>
      </c>
    </row>
    <row r="772" s="2" customFormat="1" spans="1:10">
      <c r="A772" s="6">
        <f>770</f>
        <v>770</v>
      </c>
      <c r="B772" s="6" t="s">
        <v>2078</v>
      </c>
      <c r="C772" s="6" t="s">
        <v>12</v>
      </c>
      <c r="D772" s="6" t="s">
        <v>13</v>
      </c>
      <c r="E772" s="6" t="s">
        <v>2072</v>
      </c>
      <c r="F772" s="6" t="s">
        <v>2079</v>
      </c>
      <c r="G772" s="6" t="s">
        <v>16</v>
      </c>
      <c r="H772" s="5">
        <v>2</v>
      </c>
      <c r="I772" s="6" t="s">
        <v>2080</v>
      </c>
      <c r="J772" s="5">
        <v>500</v>
      </c>
    </row>
    <row r="773" s="2" customFormat="1" ht="27" spans="1:10">
      <c r="A773" s="6">
        <f>771</f>
        <v>771</v>
      </c>
      <c r="B773" s="6" t="s">
        <v>2081</v>
      </c>
      <c r="C773" s="6" t="s">
        <v>12</v>
      </c>
      <c r="D773" s="6" t="s">
        <v>13</v>
      </c>
      <c r="E773" s="6" t="s">
        <v>2072</v>
      </c>
      <c r="F773" s="6" t="s">
        <v>2082</v>
      </c>
      <c r="G773" s="6" t="s">
        <v>16</v>
      </c>
      <c r="H773" s="5">
        <v>4</v>
      </c>
      <c r="I773" s="6" t="s">
        <v>2083</v>
      </c>
      <c r="J773" s="5">
        <v>840</v>
      </c>
    </row>
    <row r="774" s="2" customFormat="1" spans="1:10">
      <c r="A774" s="6">
        <f>772</f>
        <v>772</v>
      </c>
      <c r="B774" s="6" t="s">
        <v>2084</v>
      </c>
      <c r="C774" s="6" t="s">
        <v>12</v>
      </c>
      <c r="D774" s="6" t="s">
        <v>13</v>
      </c>
      <c r="E774" s="6" t="s">
        <v>2072</v>
      </c>
      <c r="F774" s="6" t="s">
        <v>2085</v>
      </c>
      <c r="G774" s="6" t="s">
        <v>16</v>
      </c>
      <c r="H774" s="5">
        <v>1</v>
      </c>
      <c r="I774" s="6" t="s">
        <v>2085</v>
      </c>
      <c r="J774" s="5">
        <v>460</v>
      </c>
    </row>
    <row r="775" s="2" customFormat="1" spans="1:10">
      <c r="A775" s="6">
        <f>773</f>
        <v>773</v>
      </c>
      <c r="B775" s="6" t="s">
        <v>2086</v>
      </c>
      <c r="C775" s="6" t="s">
        <v>12</v>
      </c>
      <c r="D775" s="6" t="s">
        <v>13</v>
      </c>
      <c r="E775" s="6" t="s">
        <v>2072</v>
      </c>
      <c r="F775" s="6" t="s">
        <v>2087</v>
      </c>
      <c r="G775" s="6" t="s">
        <v>16</v>
      </c>
      <c r="H775" s="5">
        <v>3</v>
      </c>
      <c r="I775" s="6" t="s">
        <v>2088</v>
      </c>
      <c r="J775" s="5">
        <v>520</v>
      </c>
    </row>
    <row r="776" s="2" customFormat="1" spans="1:10">
      <c r="A776" s="6">
        <f>774</f>
        <v>774</v>
      </c>
      <c r="B776" s="6" t="s">
        <v>2089</v>
      </c>
      <c r="C776" s="6" t="s">
        <v>12</v>
      </c>
      <c r="D776" s="6" t="s">
        <v>13</v>
      </c>
      <c r="E776" s="6" t="s">
        <v>2072</v>
      </c>
      <c r="F776" s="6" t="s">
        <v>2090</v>
      </c>
      <c r="G776" s="6" t="s">
        <v>16</v>
      </c>
      <c r="H776" s="5">
        <v>2</v>
      </c>
      <c r="I776" s="6" t="s">
        <v>2091</v>
      </c>
      <c r="J776" s="5">
        <v>520</v>
      </c>
    </row>
    <row r="777" s="2" customFormat="1" spans="1:10">
      <c r="A777" s="6">
        <f>775</f>
        <v>775</v>
      </c>
      <c r="B777" s="6" t="s">
        <v>2092</v>
      </c>
      <c r="C777" s="6" t="s">
        <v>12</v>
      </c>
      <c r="D777" s="6" t="s">
        <v>13</v>
      </c>
      <c r="E777" s="6" t="s">
        <v>2072</v>
      </c>
      <c r="F777" s="6" t="s">
        <v>2093</v>
      </c>
      <c r="G777" s="6" t="s">
        <v>16</v>
      </c>
      <c r="H777" s="5">
        <v>1</v>
      </c>
      <c r="I777" s="6" t="s">
        <v>2093</v>
      </c>
      <c r="J777" s="5">
        <v>620</v>
      </c>
    </row>
    <row r="778" s="2" customFormat="1" spans="1:10">
      <c r="A778" s="6">
        <f>776</f>
        <v>776</v>
      </c>
      <c r="B778" s="6" t="s">
        <v>2094</v>
      </c>
      <c r="C778" s="6" t="s">
        <v>12</v>
      </c>
      <c r="D778" s="6" t="s">
        <v>13</v>
      </c>
      <c r="E778" s="6" t="s">
        <v>2072</v>
      </c>
      <c r="F778" s="6" t="s">
        <v>2095</v>
      </c>
      <c r="G778" s="6" t="s">
        <v>16</v>
      </c>
      <c r="H778" s="5">
        <v>1</v>
      </c>
      <c r="I778" s="6" t="s">
        <v>2095</v>
      </c>
      <c r="J778" s="5">
        <v>340</v>
      </c>
    </row>
    <row r="779" s="2" customFormat="1" ht="27" spans="1:10">
      <c r="A779" s="6">
        <f>777</f>
        <v>777</v>
      </c>
      <c r="B779" s="6" t="s">
        <v>2096</v>
      </c>
      <c r="C779" s="6" t="s">
        <v>12</v>
      </c>
      <c r="D779" s="6" t="s">
        <v>13</v>
      </c>
      <c r="E779" s="6" t="s">
        <v>2072</v>
      </c>
      <c r="F779" s="6" t="s">
        <v>2097</v>
      </c>
      <c r="G779" s="6" t="s">
        <v>16</v>
      </c>
      <c r="H779" s="5">
        <v>4</v>
      </c>
      <c r="I779" s="6" t="s">
        <v>2098</v>
      </c>
      <c r="J779" s="5">
        <v>1780</v>
      </c>
    </row>
    <row r="780" s="2" customFormat="1" spans="1:10">
      <c r="A780" s="6">
        <f>778</f>
        <v>778</v>
      </c>
      <c r="B780" s="6" t="s">
        <v>2099</v>
      </c>
      <c r="C780" s="6" t="s">
        <v>12</v>
      </c>
      <c r="D780" s="6" t="s">
        <v>13</v>
      </c>
      <c r="E780" s="6" t="s">
        <v>2072</v>
      </c>
      <c r="F780" s="6" t="s">
        <v>2100</v>
      </c>
      <c r="G780" s="6" t="s">
        <v>16</v>
      </c>
      <c r="H780" s="5">
        <v>2</v>
      </c>
      <c r="I780" s="6" t="s">
        <v>2101</v>
      </c>
      <c r="J780" s="5">
        <v>1080</v>
      </c>
    </row>
    <row r="781" s="2" customFormat="1" spans="1:10">
      <c r="A781" s="6">
        <f>779</f>
        <v>779</v>
      </c>
      <c r="B781" s="6" t="s">
        <v>2102</v>
      </c>
      <c r="C781" s="6" t="s">
        <v>12</v>
      </c>
      <c r="D781" s="6" t="s">
        <v>13</v>
      </c>
      <c r="E781" s="6" t="s">
        <v>2072</v>
      </c>
      <c r="F781" s="6" t="s">
        <v>2103</v>
      </c>
      <c r="G781" s="6" t="s">
        <v>16</v>
      </c>
      <c r="H781" s="5">
        <v>3</v>
      </c>
      <c r="I781" s="6" t="s">
        <v>2104</v>
      </c>
      <c r="J781" s="5">
        <v>820</v>
      </c>
    </row>
    <row r="782" s="2" customFormat="1" spans="1:10">
      <c r="A782" s="6">
        <f>780</f>
        <v>780</v>
      </c>
      <c r="B782" s="6" t="s">
        <v>2105</v>
      </c>
      <c r="C782" s="6" t="s">
        <v>12</v>
      </c>
      <c r="D782" s="6" t="s">
        <v>13</v>
      </c>
      <c r="E782" s="6" t="s">
        <v>2072</v>
      </c>
      <c r="F782" s="6" t="s">
        <v>2106</v>
      </c>
      <c r="G782" s="6" t="s">
        <v>16</v>
      </c>
      <c r="H782" s="5">
        <v>1</v>
      </c>
      <c r="I782" s="6" t="s">
        <v>2106</v>
      </c>
      <c r="J782" s="5">
        <v>573</v>
      </c>
    </row>
    <row r="783" s="2" customFormat="1" spans="1:10">
      <c r="A783" s="6">
        <f>781</f>
        <v>781</v>
      </c>
      <c r="B783" s="6" t="s">
        <v>2107</v>
      </c>
      <c r="C783" s="6" t="s">
        <v>12</v>
      </c>
      <c r="D783" s="6" t="s">
        <v>13</v>
      </c>
      <c r="E783" s="6" t="s">
        <v>2072</v>
      </c>
      <c r="F783" s="6" t="s">
        <v>2108</v>
      </c>
      <c r="G783" s="6" t="s">
        <v>16</v>
      </c>
      <c r="H783" s="5">
        <v>2</v>
      </c>
      <c r="I783" s="6" t="s">
        <v>2109</v>
      </c>
      <c r="J783" s="5">
        <v>540</v>
      </c>
    </row>
    <row r="784" s="2" customFormat="1" ht="27" spans="1:10">
      <c r="A784" s="6">
        <f>782</f>
        <v>782</v>
      </c>
      <c r="B784" s="6" t="s">
        <v>2110</v>
      </c>
      <c r="C784" s="6" t="s">
        <v>12</v>
      </c>
      <c r="D784" s="6" t="s">
        <v>13</v>
      </c>
      <c r="E784" s="6" t="s">
        <v>2072</v>
      </c>
      <c r="F784" s="6" t="s">
        <v>2111</v>
      </c>
      <c r="G784" s="6" t="s">
        <v>16</v>
      </c>
      <c r="H784" s="5">
        <v>4</v>
      </c>
      <c r="I784" s="6" t="s">
        <v>2112</v>
      </c>
      <c r="J784" s="5">
        <v>820</v>
      </c>
    </row>
    <row r="785" s="2" customFormat="1" spans="1:10">
      <c r="A785" s="6">
        <f>783</f>
        <v>783</v>
      </c>
      <c r="B785" s="6" t="s">
        <v>2113</v>
      </c>
      <c r="C785" s="6" t="s">
        <v>12</v>
      </c>
      <c r="D785" s="6" t="s">
        <v>13</v>
      </c>
      <c r="E785" s="6" t="s">
        <v>2072</v>
      </c>
      <c r="F785" s="6" t="s">
        <v>2114</v>
      </c>
      <c r="G785" s="6" t="s">
        <v>16</v>
      </c>
      <c r="H785" s="5">
        <v>2</v>
      </c>
      <c r="I785" s="6" t="s">
        <v>2115</v>
      </c>
      <c r="J785" s="5">
        <v>340</v>
      </c>
    </row>
    <row r="786" s="2" customFormat="1" spans="1:10">
      <c r="A786" s="6">
        <f>784</f>
        <v>784</v>
      </c>
      <c r="B786" s="6" t="s">
        <v>2116</v>
      </c>
      <c r="C786" s="6" t="s">
        <v>12</v>
      </c>
      <c r="D786" s="6" t="s">
        <v>13</v>
      </c>
      <c r="E786" s="6" t="s">
        <v>2072</v>
      </c>
      <c r="F786" s="6" t="s">
        <v>2117</v>
      </c>
      <c r="G786" s="6" t="s">
        <v>16</v>
      </c>
      <c r="H786" s="5">
        <v>3</v>
      </c>
      <c r="I786" s="6" t="s">
        <v>2118</v>
      </c>
      <c r="J786" s="5">
        <v>560</v>
      </c>
    </row>
    <row r="787" s="2" customFormat="1" spans="1:10">
      <c r="A787" s="6">
        <f>785</f>
        <v>785</v>
      </c>
      <c r="B787" s="6" t="s">
        <v>2119</v>
      </c>
      <c r="C787" s="6" t="s">
        <v>12</v>
      </c>
      <c r="D787" s="6" t="s">
        <v>13</v>
      </c>
      <c r="E787" s="6" t="s">
        <v>2072</v>
      </c>
      <c r="F787" s="6" t="s">
        <v>2120</v>
      </c>
      <c r="G787" s="6" t="s">
        <v>16</v>
      </c>
      <c r="H787" s="5">
        <v>2</v>
      </c>
      <c r="I787" s="6" t="s">
        <v>2121</v>
      </c>
      <c r="J787" s="5">
        <v>430</v>
      </c>
    </row>
    <row r="788" s="2" customFormat="1" ht="27" spans="1:10">
      <c r="A788" s="6">
        <f>786</f>
        <v>786</v>
      </c>
      <c r="B788" s="6" t="s">
        <v>2122</v>
      </c>
      <c r="C788" s="6" t="s">
        <v>12</v>
      </c>
      <c r="D788" s="6" t="s">
        <v>13</v>
      </c>
      <c r="E788" s="6" t="s">
        <v>2072</v>
      </c>
      <c r="F788" s="6" t="s">
        <v>2123</v>
      </c>
      <c r="G788" s="6" t="s">
        <v>16</v>
      </c>
      <c r="H788" s="5">
        <v>4</v>
      </c>
      <c r="I788" s="6" t="s">
        <v>2124</v>
      </c>
      <c r="J788" s="5">
        <v>690</v>
      </c>
    </row>
    <row r="789" s="2" customFormat="1" spans="1:10">
      <c r="A789" s="6">
        <f>787</f>
        <v>787</v>
      </c>
      <c r="B789" s="6" t="s">
        <v>2125</v>
      </c>
      <c r="C789" s="6" t="s">
        <v>12</v>
      </c>
      <c r="D789" s="6" t="s">
        <v>13</v>
      </c>
      <c r="E789" s="6" t="s">
        <v>2072</v>
      </c>
      <c r="F789" s="6" t="s">
        <v>2126</v>
      </c>
      <c r="G789" s="6" t="s">
        <v>16</v>
      </c>
      <c r="H789" s="5">
        <v>1</v>
      </c>
      <c r="I789" s="6" t="s">
        <v>2126</v>
      </c>
      <c r="J789" s="5">
        <v>270</v>
      </c>
    </row>
    <row r="790" s="2" customFormat="1" ht="27" spans="1:10">
      <c r="A790" s="6">
        <f>788</f>
        <v>788</v>
      </c>
      <c r="B790" s="6" t="s">
        <v>2127</v>
      </c>
      <c r="C790" s="6" t="s">
        <v>12</v>
      </c>
      <c r="D790" s="6" t="s">
        <v>13</v>
      </c>
      <c r="E790" s="6" t="s">
        <v>2072</v>
      </c>
      <c r="F790" s="6" t="s">
        <v>2128</v>
      </c>
      <c r="G790" s="6" t="s">
        <v>16</v>
      </c>
      <c r="H790" s="5">
        <v>4</v>
      </c>
      <c r="I790" s="6" t="s">
        <v>2129</v>
      </c>
      <c r="J790" s="5">
        <v>640</v>
      </c>
    </row>
    <row r="791" s="2" customFormat="1" spans="1:10">
      <c r="A791" s="6">
        <f>789</f>
        <v>789</v>
      </c>
      <c r="B791" s="6" t="s">
        <v>2130</v>
      </c>
      <c r="C791" s="6" t="s">
        <v>12</v>
      </c>
      <c r="D791" s="6" t="s">
        <v>13</v>
      </c>
      <c r="E791" s="6" t="s">
        <v>2072</v>
      </c>
      <c r="F791" s="6" t="s">
        <v>2131</v>
      </c>
      <c r="G791" s="6" t="s">
        <v>16</v>
      </c>
      <c r="H791" s="5">
        <v>3</v>
      </c>
      <c r="I791" s="6" t="s">
        <v>2132</v>
      </c>
      <c r="J791" s="5">
        <v>630</v>
      </c>
    </row>
    <row r="792" s="2" customFormat="1" spans="1:10">
      <c r="A792" s="6">
        <f>790</f>
        <v>790</v>
      </c>
      <c r="B792" s="6" t="s">
        <v>2133</v>
      </c>
      <c r="C792" s="6" t="s">
        <v>12</v>
      </c>
      <c r="D792" s="6" t="s">
        <v>13</v>
      </c>
      <c r="E792" s="6" t="s">
        <v>2072</v>
      </c>
      <c r="F792" s="6" t="s">
        <v>2134</v>
      </c>
      <c r="G792" s="6" t="s">
        <v>16</v>
      </c>
      <c r="H792" s="5">
        <v>3</v>
      </c>
      <c r="I792" s="6" t="s">
        <v>2135</v>
      </c>
      <c r="J792" s="5">
        <v>370</v>
      </c>
    </row>
    <row r="793" s="2" customFormat="1" ht="27" spans="1:10">
      <c r="A793" s="6">
        <f>791</f>
        <v>791</v>
      </c>
      <c r="B793" s="6" t="s">
        <v>2136</v>
      </c>
      <c r="C793" s="6" t="s">
        <v>12</v>
      </c>
      <c r="D793" s="6" t="s">
        <v>13</v>
      </c>
      <c r="E793" s="6" t="s">
        <v>2072</v>
      </c>
      <c r="F793" s="6" t="s">
        <v>2137</v>
      </c>
      <c r="G793" s="6" t="s">
        <v>16</v>
      </c>
      <c r="H793" s="5">
        <v>4</v>
      </c>
      <c r="I793" s="6" t="s">
        <v>2138</v>
      </c>
      <c r="J793" s="5">
        <v>940</v>
      </c>
    </row>
    <row r="794" s="2" customFormat="1" spans="1:10">
      <c r="A794" s="6">
        <f>792</f>
        <v>792</v>
      </c>
      <c r="B794" s="6" t="s">
        <v>2139</v>
      </c>
      <c r="C794" s="6" t="s">
        <v>12</v>
      </c>
      <c r="D794" s="6" t="s">
        <v>13</v>
      </c>
      <c r="E794" s="6" t="s">
        <v>2072</v>
      </c>
      <c r="F794" s="6" t="s">
        <v>2140</v>
      </c>
      <c r="G794" s="6" t="s">
        <v>16</v>
      </c>
      <c r="H794" s="5">
        <v>3</v>
      </c>
      <c r="I794" s="6" t="s">
        <v>2141</v>
      </c>
      <c r="J794" s="5">
        <v>680</v>
      </c>
    </row>
    <row r="795" s="2" customFormat="1" spans="1:10">
      <c r="A795" s="6">
        <f>793</f>
        <v>793</v>
      </c>
      <c r="B795" s="6" t="s">
        <v>2142</v>
      </c>
      <c r="C795" s="6" t="s">
        <v>12</v>
      </c>
      <c r="D795" s="6" t="s">
        <v>13</v>
      </c>
      <c r="E795" s="6" t="s">
        <v>2072</v>
      </c>
      <c r="F795" s="6" t="s">
        <v>2143</v>
      </c>
      <c r="G795" s="6" t="s">
        <v>16</v>
      </c>
      <c r="H795" s="5">
        <v>2</v>
      </c>
      <c r="I795" s="6" t="s">
        <v>2144</v>
      </c>
      <c r="J795" s="5">
        <v>660</v>
      </c>
    </row>
    <row r="796" s="2" customFormat="1" spans="1:10">
      <c r="A796" s="6">
        <f>794</f>
        <v>794</v>
      </c>
      <c r="B796" s="6" t="s">
        <v>2145</v>
      </c>
      <c r="C796" s="6" t="s">
        <v>12</v>
      </c>
      <c r="D796" s="6" t="s">
        <v>13</v>
      </c>
      <c r="E796" s="6" t="s">
        <v>2072</v>
      </c>
      <c r="F796" s="6" t="s">
        <v>2146</v>
      </c>
      <c r="G796" s="6" t="s">
        <v>16</v>
      </c>
      <c r="H796" s="5">
        <v>1</v>
      </c>
      <c r="I796" s="6" t="s">
        <v>2146</v>
      </c>
      <c r="J796" s="5">
        <v>360</v>
      </c>
    </row>
    <row r="797" s="2" customFormat="1" spans="1:10">
      <c r="A797" s="6">
        <f>795</f>
        <v>795</v>
      </c>
      <c r="B797" s="6" t="s">
        <v>2147</v>
      </c>
      <c r="C797" s="6" t="s">
        <v>12</v>
      </c>
      <c r="D797" s="6" t="s">
        <v>13</v>
      </c>
      <c r="E797" s="6" t="s">
        <v>2072</v>
      </c>
      <c r="F797" s="6" t="s">
        <v>2148</v>
      </c>
      <c r="G797" s="6" t="s">
        <v>16</v>
      </c>
      <c r="H797" s="5">
        <v>1</v>
      </c>
      <c r="I797" s="6" t="s">
        <v>2148</v>
      </c>
      <c r="J797" s="5">
        <v>250</v>
      </c>
    </row>
    <row r="798" s="2" customFormat="1" spans="1:10">
      <c r="A798" s="6">
        <f>796</f>
        <v>796</v>
      </c>
      <c r="B798" s="6" t="s">
        <v>2149</v>
      </c>
      <c r="C798" s="6" t="s">
        <v>12</v>
      </c>
      <c r="D798" s="6" t="s">
        <v>13</v>
      </c>
      <c r="E798" s="6" t="s">
        <v>2072</v>
      </c>
      <c r="F798" s="6" t="s">
        <v>2150</v>
      </c>
      <c r="G798" s="6" t="s">
        <v>16</v>
      </c>
      <c r="H798" s="5">
        <v>1</v>
      </c>
      <c r="I798" s="6" t="s">
        <v>2150</v>
      </c>
      <c r="J798" s="5">
        <v>573</v>
      </c>
    </row>
    <row r="799" s="2" customFormat="1" spans="1:10">
      <c r="A799" s="6">
        <f>797</f>
        <v>797</v>
      </c>
      <c r="B799" s="6" t="s">
        <v>2151</v>
      </c>
      <c r="C799" s="6" t="s">
        <v>12</v>
      </c>
      <c r="D799" s="6" t="s">
        <v>13</v>
      </c>
      <c r="E799" s="6" t="s">
        <v>2072</v>
      </c>
      <c r="F799" s="6" t="s">
        <v>2152</v>
      </c>
      <c r="G799" s="6" t="s">
        <v>16</v>
      </c>
      <c r="H799" s="5">
        <v>2</v>
      </c>
      <c r="I799" s="6" t="s">
        <v>2153</v>
      </c>
      <c r="J799" s="5">
        <v>550</v>
      </c>
    </row>
    <row r="800" s="2" customFormat="1" spans="1:10">
      <c r="A800" s="6">
        <f>798</f>
        <v>798</v>
      </c>
      <c r="B800" s="6" t="s">
        <v>2154</v>
      </c>
      <c r="C800" s="6" t="s">
        <v>12</v>
      </c>
      <c r="D800" s="6" t="s">
        <v>13</v>
      </c>
      <c r="E800" s="6" t="s">
        <v>2072</v>
      </c>
      <c r="F800" s="6" t="s">
        <v>2155</v>
      </c>
      <c r="G800" s="6" t="s">
        <v>16</v>
      </c>
      <c r="H800" s="5">
        <v>1</v>
      </c>
      <c r="I800" s="6" t="s">
        <v>2155</v>
      </c>
      <c r="J800" s="5">
        <v>245</v>
      </c>
    </row>
    <row r="801" s="2" customFormat="1" ht="27" spans="1:10">
      <c r="A801" s="6">
        <f>799</f>
        <v>799</v>
      </c>
      <c r="B801" s="6" t="s">
        <v>2156</v>
      </c>
      <c r="C801" s="6" t="s">
        <v>12</v>
      </c>
      <c r="D801" s="6" t="s">
        <v>13</v>
      </c>
      <c r="E801" s="6" t="s">
        <v>2157</v>
      </c>
      <c r="F801" s="6" t="s">
        <v>2158</v>
      </c>
      <c r="G801" s="6" t="s">
        <v>16</v>
      </c>
      <c r="H801" s="5">
        <v>4</v>
      </c>
      <c r="I801" s="6" t="s">
        <v>2159</v>
      </c>
      <c r="J801" s="5">
        <v>840</v>
      </c>
    </row>
    <row r="802" s="2" customFormat="1" ht="27" spans="1:10">
      <c r="A802" s="6">
        <f>800</f>
        <v>800</v>
      </c>
      <c r="B802" s="6" t="s">
        <v>2160</v>
      </c>
      <c r="C802" s="6" t="s">
        <v>12</v>
      </c>
      <c r="D802" s="6" t="s">
        <v>13</v>
      </c>
      <c r="E802" s="6" t="s">
        <v>2157</v>
      </c>
      <c r="F802" s="6" t="s">
        <v>2161</v>
      </c>
      <c r="G802" s="6" t="s">
        <v>16</v>
      </c>
      <c r="H802" s="5">
        <v>6</v>
      </c>
      <c r="I802" s="6" t="s">
        <v>2162</v>
      </c>
      <c r="J802" s="5">
        <v>1200</v>
      </c>
    </row>
    <row r="803" s="2" customFormat="1" spans="1:10">
      <c r="A803" s="6">
        <f>801</f>
        <v>801</v>
      </c>
      <c r="B803" s="6" t="s">
        <v>2163</v>
      </c>
      <c r="C803" s="6" t="s">
        <v>12</v>
      </c>
      <c r="D803" s="6" t="s">
        <v>13</v>
      </c>
      <c r="E803" s="6" t="s">
        <v>2157</v>
      </c>
      <c r="F803" s="6" t="s">
        <v>2164</v>
      </c>
      <c r="G803" s="6" t="s">
        <v>16</v>
      </c>
      <c r="H803" s="5">
        <v>2</v>
      </c>
      <c r="I803" s="6" t="s">
        <v>2165</v>
      </c>
      <c r="J803" s="5">
        <v>670</v>
      </c>
    </row>
    <row r="804" s="2" customFormat="1" spans="1:10">
      <c r="A804" s="6">
        <f>802</f>
        <v>802</v>
      </c>
      <c r="B804" s="6" t="s">
        <v>2166</v>
      </c>
      <c r="C804" s="6" t="s">
        <v>12</v>
      </c>
      <c r="D804" s="6" t="s">
        <v>13</v>
      </c>
      <c r="E804" s="6" t="s">
        <v>2157</v>
      </c>
      <c r="F804" s="6" t="s">
        <v>2167</v>
      </c>
      <c r="G804" s="6" t="s">
        <v>16</v>
      </c>
      <c r="H804" s="5">
        <v>3</v>
      </c>
      <c r="I804" s="6" t="s">
        <v>2168</v>
      </c>
      <c r="J804" s="5">
        <v>680</v>
      </c>
    </row>
    <row r="805" s="2" customFormat="1" spans="1:10">
      <c r="A805" s="6">
        <f>803</f>
        <v>803</v>
      </c>
      <c r="B805" s="6" t="s">
        <v>2169</v>
      </c>
      <c r="C805" s="6" t="s">
        <v>12</v>
      </c>
      <c r="D805" s="6" t="s">
        <v>13</v>
      </c>
      <c r="E805" s="6" t="s">
        <v>2157</v>
      </c>
      <c r="F805" s="6" t="s">
        <v>2170</v>
      </c>
      <c r="G805" s="6" t="s">
        <v>16</v>
      </c>
      <c r="H805" s="5">
        <v>2</v>
      </c>
      <c r="I805" s="6" t="s">
        <v>2171</v>
      </c>
      <c r="J805" s="5">
        <v>620</v>
      </c>
    </row>
    <row r="806" s="2" customFormat="1" ht="27" spans="1:10">
      <c r="A806" s="6">
        <f>804</f>
        <v>804</v>
      </c>
      <c r="B806" s="6" t="s">
        <v>2172</v>
      </c>
      <c r="C806" s="6" t="s">
        <v>12</v>
      </c>
      <c r="D806" s="6" t="s">
        <v>13</v>
      </c>
      <c r="E806" s="6" t="s">
        <v>2157</v>
      </c>
      <c r="F806" s="6" t="s">
        <v>339</v>
      </c>
      <c r="G806" s="6" t="s">
        <v>16</v>
      </c>
      <c r="H806" s="5">
        <v>4</v>
      </c>
      <c r="I806" s="6" t="s">
        <v>2173</v>
      </c>
      <c r="J806" s="5">
        <v>1360</v>
      </c>
    </row>
    <row r="807" s="2" customFormat="1" spans="1:10">
      <c r="A807" s="6">
        <f>805</f>
        <v>805</v>
      </c>
      <c r="B807" s="6" t="s">
        <v>2174</v>
      </c>
      <c r="C807" s="6" t="s">
        <v>12</v>
      </c>
      <c r="D807" s="6" t="s">
        <v>13</v>
      </c>
      <c r="E807" s="6" t="s">
        <v>2157</v>
      </c>
      <c r="F807" s="6" t="s">
        <v>2175</v>
      </c>
      <c r="G807" s="6" t="s">
        <v>16</v>
      </c>
      <c r="H807" s="5">
        <v>1</v>
      </c>
      <c r="I807" s="6" t="s">
        <v>2175</v>
      </c>
      <c r="J807" s="5">
        <v>490</v>
      </c>
    </row>
    <row r="808" s="2" customFormat="1" spans="1:10">
      <c r="A808" s="6">
        <f>806</f>
        <v>806</v>
      </c>
      <c r="B808" s="6" t="s">
        <v>2176</v>
      </c>
      <c r="C808" s="6" t="s">
        <v>12</v>
      </c>
      <c r="D808" s="6" t="s">
        <v>13</v>
      </c>
      <c r="E808" s="6" t="s">
        <v>2157</v>
      </c>
      <c r="F808" s="6" t="s">
        <v>2177</v>
      </c>
      <c r="G808" s="6" t="s">
        <v>16</v>
      </c>
      <c r="H808" s="5">
        <v>3</v>
      </c>
      <c r="I808" s="6" t="s">
        <v>2178</v>
      </c>
      <c r="J808" s="5">
        <v>680</v>
      </c>
    </row>
    <row r="809" s="2" customFormat="1" spans="1:10">
      <c r="A809" s="6">
        <f>807</f>
        <v>807</v>
      </c>
      <c r="B809" s="6" t="s">
        <v>2179</v>
      </c>
      <c r="C809" s="6" t="s">
        <v>12</v>
      </c>
      <c r="D809" s="6" t="s">
        <v>13</v>
      </c>
      <c r="E809" s="6" t="s">
        <v>2157</v>
      </c>
      <c r="F809" s="6" t="s">
        <v>2180</v>
      </c>
      <c r="G809" s="6" t="s">
        <v>16</v>
      </c>
      <c r="H809" s="5">
        <v>3</v>
      </c>
      <c r="I809" s="6" t="s">
        <v>2181</v>
      </c>
      <c r="J809" s="5">
        <v>780</v>
      </c>
    </row>
    <row r="810" s="2" customFormat="1" spans="1:10">
      <c r="A810" s="6">
        <f>808</f>
        <v>808</v>
      </c>
      <c r="B810" s="6" t="s">
        <v>2182</v>
      </c>
      <c r="C810" s="6" t="s">
        <v>12</v>
      </c>
      <c r="D810" s="6" t="s">
        <v>13</v>
      </c>
      <c r="E810" s="6" t="s">
        <v>2157</v>
      </c>
      <c r="F810" s="6" t="s">
        <v>2183</v>
      </c>
      <c r="G810" s="6" t="s">
        <v>16</v>
      </c>
      <c r="H810" s="5">
        <v>2</v>
      </c>
      <c r="I810" s="6" t="s">
        <v>2184</v>
      </c>
      <c r="J810" s="5">
        <v>620</v>
      </c>
    </row>
    <row r="811" s="2" customFormat="1" spans="1:10">
      <c r="A811" s="6">
        <f>809</f>
        <v>809</v>
      </c>
      <c r="B811" s="6" t="s">
        <v>2185</v>
      </c>
      <c r="C811" s="6" t="s">
        <v>12</v>
      </c>
      <c r="D811" s="6" t="s">
        <v>13</v>
      </c>
      <c r="E811" s="6" t="s">
        <v>2157</v>
      </c>
      <c r="F811" s="6" t="s">
        <v>2186</v>
      </c>
      <c r="G811" s="6" t="s">
        <v>16</v>
      </c>
      <c r="H811" s="5">
        <v>1</v>
      </c>
      <c r="I811" s="6" t="s">
        <v>2186</v>
      </c>
      <c r="J811" s="5">
        <v>620</v>
      </c>
    </row>
    <row r="812" s="2" customFormat="1" ht="27" spans="1:10">
      <c r="A812" s="6">
        <f>810</f>
        <v>810</v>
      </c>
      <c r="B812" s="6" t="s">
        <v>2187</v>
      </c>
      <c r="C812" s="6" t="s">
        <v>12</v>
      </c>
      <c r="D812" s="6" t="s">
        <v>13</v>
      </c>
      <c r="E812" s="6" t="s">
        <v>2157</v>
      </c>
      <c r="F812" s="6" t="s">
        <v>2188</v>
      </c>
      <c r="G812" s="6" t="s">
        <v>16</v>
      </c>
      <c r="H812" s="5">
        <v>4</v>
      </c>
      <c r="I812" s="6" t="s">
        <v>2189</v>
      </c>
      <c r="J812" s="5">
        <v>740</v>
      </c>
    </row>
    <row r="813" s="2" customFormat="1" spans="1:10">
      <c r="A813" s="6">
        <f>811</f>
        <v>811</v>
      </c>
      <c r="B813" s="6" t="s">
        <v>2190</v>
      </c>
      <c r="C813" s="6" t="s">
        <v>12</v>
      </c>
      <c r="D813" s="6" t="s">
        <v>13</v>
      </c>
      <c r="E813" s="6" t="s">
        <v>2157</v>
      </c>
      <c r="F813" s="6" t="s">
        <v>2191</v>
      </c>
      <c r="G813" s="6" t="s">
        <v>16</v>
      </c>
      <c r="H813" s="5">
        <v>2</v>
      </c>
      <c r="I813" s="6" t="s">
        <v>2192</v>
      </c>
      <c r="J813" s="5">
        <v>580</v>
      </c>
    </row>
    <row r="814" s="2" customFormat="1" spans="1:10">
      <c r="A814" s="6">
        <f>812</f>
        <v>812</v>
      </c>
      <c r="B814" s="6" t="s">
        <v>2193</v>
      </c>
      <c r="C814" s="6" t="s">
        <v>12</v>
      </c>
      <c r="D814" s="6" t="s">
        <v>13</v>
      </c>
      <c r="E814" s="6" t="s">
        <v>2157</v>
      </c>
      <c r="F814" s="6" t="s">
        <v>2194</v>
      </c>
      <c r="G814" s="6" t="s">
        <v>16</v>
      </c>
      <c r="H814" s="5">
        <v>1</v>
      </c>
      <c r="I814" s="6" t="s">
        <v>2194</v>
      </c>
      <c r="J814" s="5">
        <v>540</v>
      </c>
    </row>
    <row r="815" s="2" customFormat="1" spans="1:10">
      <c r="A815" s="6">
        <f>813</f>
        <v>813</v>
      </c>
      <c r="B815" s="6" t="s">
        <v>2195</v>
      </c>
      <c r="C815" s="6" t="s">
        <v>12</v>
      </c>
      <c r="D815" s="6" t="s">
        <v>13</v>
      </c>
      <c r="E815" s="6" t="s">
        <v>2157</v>
      </c>
      <c r="F815" s="6" t="s">
        <v>2196</v>
      </c>
      <c r="G815" s="6" t="s">
        <v>16</v>
      </c>
      <c r="H815" s="5">
        <v>3</v>
      </c>
      <c r="I815" s="6" t="s">
        <v>2197</v>
      </c>
      <c r="J815" s="5">
        <v>660</v>
      </c>
    </row>
    <row r="816" s="2" customFormat="1" spans="1:10">
      <c r="A816" s="6">
        <f>814</f>
        <v>814</v>
      </c>
      <c r="B816" s="6" t="s">
        <v>2198</v>
      </c>
      <c r="C816" s="6" t="s">
        <v>12</v>
      </c>
      <c r="D816" s="6" t="s">
        <v>13</v>
      </c>
      <c r="E816" s="6" t="s">
        <v>2157</v>
      </c>
      <c r="F816" s="6" t="s">
        <v>2199</v>
      </c>
      <c r="G816" s="6" t="s">
        <v>16</v>
      </c>
      <c r="H816" s="5">
        <v>2</v>
      </c>
      <c r="I816" s="6" t="s">
        <v>2200</v>
      </c>
      <c r="J816" s="5">
        <v>720</v>
      </c>
    </row>
    <row r="817" s="2" customFormat="1" ht="27" spans="1:10">
      <c r="A817" s="6">
        <f>815</f>
        <v>815</v>
      </c>
      <c r="B817" s="6" t="s">
        <v>2201</v>
      </c>
      <c r="C817" s="6" t="s">
        <v>12</v>
      </c>
      <c r="D817" s="6" t="s">
        <v>13</v>
      </c>
      <c r="E817" s="6" t="s">
        <v>2157</v>
      </c>
      <c r="F817" s="6" t="s">
        <v>2202</v>
      </c>
      <c r="G817" s="6" t="s">
        <v>16</v>
      </c>
      <c r="H817" s="5">
        <v>4</v>
      </c>
      <c r="I817" s="6" t="s">
        <v>2203</v>
      </c>
      <c r="J817" s="5">
        <v>840</v>
      </c>
    </row>
    <row r="818" s="2" customFormat="1" ht="40.5" spans="1:10">
      <c r="A818" s="6">
        <f>816</f>
        <v>816</v>
      </c>
      <c r="B818" s="6" t="s">
        <v>2204</v>
      </c>
      <c r="C818" s="6" t="s">
        <v>12</v>
      </c>
      <c r="D818" s="6" t="s">
        <v>13</v>
      </c>
      <c r="E818" s="6" t="s">
        <v>2157</v>
      </c>
      <c r="F818" s="6" t="s">
        <v>2205</v>
      </c>
      <c r="G818" s="6" t="s">
        <v>16</v>
      </c>
      <c r="H818" s="5">
        <v>9</v>
      </c>
      <c r="I818" s="6" t="s">
        <v>2206</v>
      </c>
      <c r="J818" s="5">
        <v>1340</v>
      </c>
    </row>
    <row r="819" s="2" customFormat="1" ht="27" spans="1:10">
      <c r="A819" s="6">
        <f>817</f>
        <v>817</v>
      </c>
      <c r="B819" s="6" t="s">
        <v>2207</v>
      </c>
      <c r="C819" s="6" t="s">
        <v>12</v>
      </c>
      <c r="D819" s="6" t="s">
        <v>13</v>
      </c>
      <c r="E819" s="6" t="s">
        <v>2157</v>
      </c>
      <c r="F819" s="6" t="s">
        <v>2208</v>
      </c>
      <c r="G819" s="6" t="s">
        <v>16</v>
      </c>
      <c r="H819" s="5">
        <v>4</v>
      </c>
      <c r="I819" s="6" t="s">
        <v>2209</v>
      </c>
      <c r="J819" s="5">
        <v>940</v>
      </c>
    </row>
    <row r="820" s="2" customFormat="1" ht="27" spans="1:10">
      <c r="A820" s="6">
        <f>818</f>
        <v>818</v>
      </c>
      <c r="B820" s="6" t="s">
        <v>2210</v>
      </c>
      <c r="C820" s="6" t="s">
        <v>12</v>
      </c>
      <c r="D820" s="6" t="s">
        <v>13</v>
      </c>
      <c r="E820" s="6" t="s">
        <v>2157</v>
      </c>
      <c r="F820" s="6" t="s">
        <v>2211</v>
      </c>
      <c r="G820" s="6" t="s">
        <v>16</v>
      </c>
      <c r="H820" s="5">
        <v>4</v>
      </c>
      <c r="I820" s="6" t="s">
        <v>2212</v>
      </c>
      <c r="J820" s="5">
        <v>800</v>
      </c>
    </row>
    <row r="821" s="2" customFormat="1" spans="1:10">
      <c r="A821" s="6">
        <f>819</f>
        <v>819</v>
      </c>
      <c r="B821" s="6" t="s">
        <v>2213</v>
      </c>
      <c r="C821" s="6" t="s">
        <v>12</v>
      </c>
      <c r="D821" s="6" t="s">
        <v>13</v>
      </c>
      <c r="E821" s="6" t="s">
        <v>2157</v>
      </c>
      <c r="F821" s="6" t="s">
        <v>2214</v>
      </c>
      <c r="G821" s="6" t="s">
        <v>16</v>
      </c>
      <c r="H821" s="5">
        <v>2</v>
      </c>
      <c r="I821" s="6" t="s">
        <v>2215</v>
      </c>
      <c r="J821" s="5">
        <v>420</v>
      </c>
    </row>
    <row r="822" s="2" customFormat="1" spans="1:10">
      <c r="A822" s="6">
        <f>820</f>
        <v>820</v>
      </c>
      <c r="B822" s="6" t="s">
        <v>2216</v>
      </c>
      <c r="C822" s="6" t="s">
        <v>12</v>
      </c>
      <c r="D822" s="6" t="s">
        <v>13</v>
      </c>
      <c r="E822" s="6" t="s">
        <v>2157</v>
      </c>
      <c r="F822" s="6" t="s">
        <v>2217</v>
      </c>
      <c r="G822" s="6" t="s">
        <v>16</v>
      </c>
      <c r="H822" s="5">
        <v>3</v>
      </c>
      <c r="I822" s="6" t="s">
        <v>2218</v>
      </c>
      <c r="J822" s="5">
        <v>480</v>
      </c>
    </row>
    <row r="823" s="2" customFormat="1" spans="1:10">
      <c r="A823" s="6">
        <f>821</f>
        <v>821</v>
      </c>
      <c r="B823" s="6" t="s">
        <v>2219</v>
      </c>
      <c r="C823" s="6" t="s">
        <v>12</v>
      </c>
      <c r="D823" s="6" t="s">
        <v>13</v>
      </c>
      <c r="E823" s="6" t="s">
        <v>2157</v>
      </c>
      <c r="F823" s="6" t="s">
        <v>2220</v>
      </c>
      <c r="G823" s="6" t="s">
        <v>16</v>
      </c>
      <c r="H823" s="5">
        <v>3</v>
      </c>
      <c r="I823" s="6" t="s">
        <v>2221</v>
      </c>
      <c r="J823" s="5">
        <v>700</v>
      </c>
    </row>
    <row r="824" s="2" customFormat="1" ht="27" spans="1:10">
      <c r="A824" s="6">
        <f>822</f>
        <v>822</v>
      </c>
      <c r="B824" s="6" t="s">
        <v>2222</v>
      </c>
      <c r="C824" s="6" t="s">
        <v>12</v>
      </c>
      <c r="D824" s="6" t="s">
        <v>13</v>
      </c>
      <c r="E824" s="6" t="s">
        <v>2157</v>
      </c>
      <c r="F824" s="6" t="s">
        <v>2223</v>
      </c>
      <c r="G824" s="6" t="s">
        <v>16</v>
      </c>
      <c r="H824" s="5">
        <v>4</v>
      </c>
      <c r="I824" s="6" t="s">
        <v>2224</v>
      </c>
      <c r="J824" s="5">
        <v>760</v>
      </c>
    </row>
    <row r="825" s="2" customFormat="1" spans="1:10">
      <c r="A825" s="6">
        <f>823</f>
        <v>823</v>
      </c>
      <c r="B825" s="6" t="s">
        <v>2225</v>
      </c>
      <c r="C825" s="6" t="s">
        <v>12</v>
      </c>
      <c r="D825" s="6" t="s">
        <v>13</v>
      </c>
      <c r="E825" s="6" t="s">
        <v>2157</v>
      </c>
      <c r="F825" s="6" t="s">
        <v>2226</v>
      </c>
      <c r="G825" s="6" t="s">
        <v>16</v>
      </c>
      <c r="H825" s="5">
        <v>2</v>
      </c>
      <c r="I825" s="6" t="s">
        <v>2227</v>
      </c>
      <c r="J825" s="5">
        <v>520</v>
      </c>
    </row>
    <row r="826" s="2" customFormat="1" spans="1:10">
      <c r="A826" s="6">
        <f>824</f>
        <v>824</v>
      </c>
      <c r="B826" s="6" t="s">
        <v>2228</v>
      </c>
      <c r="C826" s="6" t="s">
        <v>12</v>
      </c>
      <c r="D826" s="6" t="s">
        <v>13</v>
      </c>
      <c r="E826" s="6" t="s">
        <v>2157</v>
      </c>
      <c r="F826" s="6" t="s">
        <v>2229</v>
      </c>
      <c r="G826" s="6" t="s">
        <v>16</v>
      </c>
      <c r="H826" s="5">
        <v>2</v>
      </c>
      <c r="I826" s="6" t="s">
        <v>2230</v>
      </c>
      <c r="J826" s="5">
        <v>720</v>
      </c>
    </row>
    <row r="827" s="2" customFormat="1" spans="1:10">
      <c r="A827" s="6">
        <f>825</f>
        <v>825</v>
      </c>
      <c r="B827" s="6" t="s">
        <v>2231</v>
      </c>
      <c r="C827" s="6" t="s">
        <v>12</v>
      </c>
      <c r="D827" s="6" t="s">
        <v>13</v>
      </c>
      <c r="E827" s="6" t="s">
        <v>2157</v>
      </c>
      <c r="F827" s="6" t="s">
        <v>2232</v>
      </c>
      <c r="G827" s="6" t="s">
        <v>16</v>
      </c>
      <c r="H827" s="5">
        <v>2</v>
      </c>
      <c r="I827" s="6" t="s">
        <v>2233</v>
      </c>
      <c r="J827" s="5">
        <v>520</v>
      </c>
    </row>
    <row r="828" s="2" customFormat="1" spans="1:10">
      <c r="A828" s="6">
        <f>826</f>
        <v>826</v>
      </c>
      <c r="B828" s="6" t="s">
        <v>2234</v>
      </c>
      <c r="C828" s="6" t="s">
        <v>12</v>
      </c>
      <c r="D828" s="6" t="s">
        <v>13</v>
      </c>
      <c r="E828" s="6" t="s">
        <v>2157</v>
      </c>
      <c r="F828" s="6" t="s">
        <v>2235</v>
      </c>
      <c r="G828" s="6" t="s">
        <v>16</v>
      </c>
      <c r="H828" s="5">
        <v>2</v>
      </c>
      <c r="I828" s="6" t="s">
        <v>2236</v>
      </c>
      <c r="J828" s="5">
        <v>405</v>
      </c>
    </row>
    <row r="829" s="2" customFormat="1" ht="27" spans="1:10">
      <c r="A829" s="6">
        <f>827</f>
        <v>827</v>
      </c>
      <c r="B829" s="6" t="s">
        <v>2237</v>
      </c>
      <c r="C829" s="6" t="s">
        <v>12</v>
      </c>
      <c r="D829" s="6" t="s">
        <v>13</v>
      </c>
      <c r="E829" s="6" t="s">
        <v>2157</v>
      </c>
      <c r="F829" s="6" t="s">
        <v>2238</v>
      </c>
      <c r="G829" s="6" t="s">
        <v>16</v>
      </c>
      <c r="H829" s="5">
        <v>4</v>
      </c>
      <c r="I829" s="6" t="s">
        <v>2239</v>
      </c>
      <c r="J829" s="5">
        <v>740</v>
      </c>
    </row>
    <row r="830" s="2" customFormat="1" spans="1:10">
      <c r="A830" s="6">
        <f>828</f>
        <v>828</v>
      </c>
      <c r="B830" s="6" t="s">
        <v>2240</v>
      </c>
      <c r="C830" s="6" t="s">
        <v>12</v>
      </c>
      <c r="D830" s="6" t="s">
        <v>13</v>
      </c>
      <c r="E830" s="6" t="s">
        <v>2157</v>
      </c>
      <c r="F830" s="6" t="s">
        <v>2241</v>
      </c>
      <c r="G830" s="6" t="s">
        <v>16</v>
      </c>
      <c r="H830" s="5">
        <v>2</v>
      </c>
      <c r="I830" s="6" t="s">
        <v>2242</v>
      </c>
      <c r="J830" s="5">
        <v>480</v>
      </c>
    </row>
    <row r="831" s="2" customFormat="1" ht="27" spans="1:10">
      <c r="A831" s="6">
        <f>829</f>
        <v>829</v>
      </c>
      <c r="B831" s="6" t="s">
        <v>2243</v>
      </c>
      <c r="C831" s="6" t="s">
        <v>12</v>
      </c>
      <c r="D831" s="6" t="s">
        <v>13</v>
      </c>
      <c r="E831" s="6" t="s">
        <v>2157</v>
      </c>
      <c r="F831" s="6" t="s">
        <v>2244</v>
      </c>
      <c r="G831" s="6" t="s">
        <v>16</v>
      </c>
      <c r="H831" s="5">
        <v>4</v>
      </c>
      <c r="I831" s="6" t="s">
        <v>2245</v>
      </c>
      <c r="J831" s="5">
        <v>740</v>
      </c>
    </row>
    <row r="832" s="2" customFormat="1" ht="27" spans="1:10">
      <c r="A832" s="6">
        <f>830</f>
        <v>830</v>
      </c>
      <c r="B832" s="6" t="s">
        <v>2246</v>
      </c>
      <c r="C832" s="6" t="s">
        <v>12</v>
      </c>
      <c r="D832" s="6" t="s">
        <v>13</v>
      </c>
      <c r="E832" s="6" t="s">
        <v>2157</v>
      </c>
      <c r="F832" s="6" t="s">
        <v>2247</v>
      </c>
      <c r="G832" s="6" t="s">
        <v>16</v>
      </c>
      <c r="H832" s="5">
        <v>5</v>
      </c>
      <c r="I832" s="6" t="s">
        <v>2248</v>
      </c>
      <c r="J832" s="5">
        <v>860</v>
      </c>
    </row>
    <row r="833" s="2" customFormat="1" spans="1:10">
      <c r="A833" s="6">
        <f>831</f>
        <v>831</v>
      </c>
      <c r="B833" s="6" t="s">
        <v>2249</v>
      </c>
      <c r="C833" s="6" t="s">
        <v>12</v>
      </c>
      <c r="D833" s="6" t="s">
        <v>13</v>
      </c>
      <c r="E833" s="6" t="s">
        <v>2157</v>
      </c>
      <c r="F833" s="6" t="s">
        <v>2250</v>
      </c>
      <c r="G833" s="6" t="s">
        <v>16</v>
      </c>
      <c r="H833" s="5">
        <v>2</v>
      </c>
      <c r="I833" s="6" t="s">
        <v>2251</v>
      </c>
      <c r="J833" s="5">
        <v>480</v>
      </c>
    </row>
    <row r="834" s="2" customFormat="1" spans="1:10">
      <c r="A834" s="6">
        <f>832</f>
        <v>832</v>
      </c>
      <c r="B834" s="6" t="s">
        <v>2252</v>
      </c>
      <c r="C834" s="6" t="s">
        <v>12</v>
      </c>
      <c r="D834" s="6" t="s">
        <v>13</v>
      </c>
      <c r="E834" s="6" t="s">
        <v>2157</v>
      </c>
      <c r="F834" s="6" t="s">
        <v>2253</v>
      </c>
      <c r="G834" s="6" t="s">
        <v>16</v>
      </c>
      <c r="H834" s="5">
        <v>3</v>
      </c>
      <c r="I834" s="6" t="s">
        <v>2254</v>
      </c>
      <c r="J834" s="5">
        <v>600</v>
      </c>
    </row>
    <row r="835" s="2" customFormat="1" ht="27" spans="1:10">
      <c r="A835" s="6">
        <f>833</f>
        <v>833</v>
      </c>
      <c r="B835" s="6" t="s">
        <v>2255</v>
      </c>
      <c r="C835" s="6" t="s">
        <v>12</v>
      </c>
      <c r="D835" s="6" t="s">
        <v>13</v>
      </c>
      <c r="E835" s="6" t="s">
        <v>2157</v>
      </c>
      <c r="F835" s="6" t="s">
        <v>1088</v>
      </c>
      <c r="G835" s="6" t="s">
        <v>16</v>
      </c>
      <c r="H835" s="5">
        <v>5</v>
      </c>
      <c r="I835" s="6" t="s">
        <v>2256</v>
      </c>
      <c r="J835" s="5">
        <v>800</v>
      </c>
    </row>
    <row r="836" s="2" customFormat="1" spans="1:10">
      <c r="A836" s="6">
        <f>834</f>
        <v>834</v>
      </c>
      <c r="B836" s="6" t="s">
        <v>2257</v>
      </c>
      <c r="C836" s="6" t="s">
        <v>12</v>
      </c>
      <c r="D836" s="6" t="s">
        <v>13</v>
      </c>
      <c r="E836" s="6" t="s">
        <v>2157</v>
      </c>
      <c r="F836" s="6" t="s">
        <v>2258</v>
      </c>
      <c r="G836" s="6" t="s">
        <v>16</v>
      </c>
      <c r="H836" s="5">
        <v>3</v>
      </c>
      <c r="I836" s="6" t="s">
        <v>2259</v>
      </c>
      <c r="J836" s="5">
        <v>780</v>
      </c>
    </row>
    <row r="837" s="2" customFormat="1" ht="27" spans="1:10">
      <c r="A837" s="6">
        <f>835</f>
        <v>835</v>
      </c>
      <c r="B837" s="6" t="s">
        <v>2260</v>
      </c>
      <c r="C837" s="6" t="s">
        <v>12</v>
      </c>
      <c r="D837" s="6" t="s">
        <v>13</v>
      </c>
      <c r="E837" s="6" t="s">
        <v>2157</v>
      </c>
      <c r="F837" s="6" t="s">
        <v>2261</v>
      </c>
      <c r="G837" s="6" t="s">
        <v>16</v>
      </c>
      <c r="H837" s="5">
        <v>5</v>
      </c>
      <c r="I837" s="6" t="s">
        <v>2262</v>
      </c>
      <c r="J837" s="5">
        <v>800</v>
      </c>
    </row>
    <row r="838" s="2" customFormat="1" spans="1:10">
      <c r="A838" s="6">
        <f>836</f>
        <v>836</v>
      </c>
      <c r="B838" s="6" t="s">
        <v>2263</v>
      </c>
      <c r="C838" s="6" t="s">
        <v>12</v>
      </c>
      <c r="D838" s="6" t="s">
        <v>13</v>
      </c>
      <c r="E838" s="6" t="s">
        <v>2157</v>
      </c>
      <c r="F838" s="6" t="s">
        <v>2264</v>
      </c>
      <c r="G838" s="6" t="s">
        <v>16</v>
      </c>
      <c r="H838" s="5">
        <v>1</v>
      </c>
      <c r="I838" s="6" t="s">
        <v>2264</v>
      </c>
      <c r="J838" s="5">
        <v>240</v>
      </c>
    </row>
    <row r="839" s="2" customFormat="1" ht="27" spans="1:10">
      <c r="A839" s="6">
        <f>837</f>
        <v>837</v>
      </c>
      <c r="B839" s="6" t="s">
        <v>2265</v>
      </c>
      <c r="C839" s="6" t="s">
        <v>12</v>
      </c>
      <c r="D839" s="6" t="s">
        <v>13</v>
      </c>
      <c r="E839" s="6" t="s">
        <v>2157</v>
      </c>
      <c r="F839" s="6" t="s">
        <v>2266</v>
      </c>
      <c r="G839" s="6" t="s">
        <v>16</v>
      </c>
      <c r="H839" s="5">
        <v>5</v>
      </c>
      <c r="I839" s="6" t="s">
        <v>2267</v>
      </c>
      <c r="J839" s="5">
        <v>960</v>
      </c>
    </row>
    <row r="840" s="2" customFormat="1" spans="1:10">
      <c r="A840" s="6">
        <f>838</f>
        <v>838</v>
      </c>
      <c r="B840" s="6" t="s">
        <v>2268</v>
      </c>
      <c r="C840" s="6" t="s">
        <v>12</v>
      </c>
      <c r="D840" s="6" t="s">
        <v>13</v>
      </c>
      <c r="E840" s="6" t="s">
        <v>2157</v>
      </c>
      <c r="F840" s="6" t="s">
        <v>2269</v>
      </c>
      <c r="G840" s="6" t="s">
        <v>16</v>
      </c>
      <c r="H840" s="5">
        <v>2</v>
      </c>
      <c r="I840" s="6" t="s">
        <v>2270</v>
      </c>
      <c r="J840" s="5">
        <v>470</v>
      </c>
    </row>
    <row r="841" s="2" customFormat="1" spans="1:10">
      <c r="A841" s="6">
        <f>839</f>
        <v>839</v>
      </c>
      <c r="B841" s="6" t="s">
        <v>2271</v>
      </c>
      <c r="C841" s="6" t="s">
        <v>12</v>
      </c>
      <c r="D841" s="6" t="s">
        <v>13</v>
      </c>
      <c r="E841" s="6" t="s">
        <v>2157</v>
      </c>
      <c r="F841" s="6" t="s">
        <v>2272</v>
      </c>
      <c r="G841" s="6" t="s">
        <v>16</v>
      </c>
      <c r="H841" s="5">
        <v>3</v>
      </c>
      <c r="I841" s="6" t="s">
        <v>2273</v>
      </c>
      <c r="J841" s="5">
        <v>660</v>
      </c>
    </row>
    <row r="842" s="2" customFormat="1" ht="27" spans="1:10">
      <c r="A842" s="6">
        <f>840</f>
        <v>840</v>
      </c>
      <c r="B842" s="6" t="s">
        <v>2274</v>
      </c>
      <c r="C842" s="6" t="s">
        <v>12</v>
      </c>
      <c r="D842" s="6" t="s">
        <v>13</v>
      </c>
      <c r="E842" s="6" t="s">
        <v>2157</v>
      </c>
      <c r="F842" s="6" t="s">
        <v>2275</v>
      </c>
      <c r="G842" s="6" t="s">
        <v>16</v>
      </c>
      <c r="H842" s="5">
        <v>5</v>
      </c>
      <c r="I842" s="6" t="s">
        <v>2276</v>
      </c>
      <c r="J842" s="5">
        <v>1700</v>
      </c>
    </row>
    <row r="843" s="2" customFormat="1" spans="1:10">
      <c r="A843" s="6">
        <f>841</f>
        <v>841</v>
      </c>
      <c r="B843" s="6" t="s">
        <v>2277</v>
      </c>
      <c r="C843" s="6" t="s">
        <v>12</v>
      </c>
      <c r="D843" s="6" t="s">
        <v>13</v>
      </c>
      <c r="E843" s="6" t="s">
        <v>2157</v>
      </c>
      <c r="F843" s="6" t="s">
        <v>2278</v>
      </c>
      <c r="G843" s="6" t="s">
        <v>16</v>
      </c>
      <c r="H843" s="5">
        <v>2</v>
      </c>
      <c r="I843" s="6" t="s">
        <v>2279</v>
      </c>
      <c r="J843" s="5">
        <v>620</v>
      </c>
    </row>
    <row r="844" s="2" customFormat="1" ht="27" spans="1:10">
      <c r="A844" s="6">
        <f>842</f>
        <v>842</v>
      </c>
      <c r="B844" s="6" t="s">
        <v>2280</v>
      </c>
      <c r="C844" s="6" t="s">
        <v>12</v>
      </c>
      <c r="D844" s="6" t="s">
        <v>2281</v>
      </c>
      <c r="E844" s="6" t="s">
        <v>2282</v>
      </c>
      <c r="F844" s="6" t="s">
        <v>2283</v>
      </c>
      <c r="G844" s="6" t="s">
        <v>16</v>
      </c>
      <c r="H844" s="5">
        <v>4</v>
      </c>
      <c r="I844" s="6" t="s">
        <v>2284</v>
      </c>
      <c r="J844" s="5">
        <v>515</v>
      </c>
    </row>
    <row r="845" s="2" customFormat="1" ht="27" spans="1:10">
      <c r="A845" s="6">
        <f>843</f>
        <v>843</v>
      </c>
      <c r="B845" s="6" t="s">
        <v>2285</v>
      </c>
      <c r="C845" s="6" t="s">
        <v>12</v>
      </c>
      <c r="D845" s="6" t="s">
        <v>2281</v>
      </c>
      <c r="E845" s="6" t="s">
        <v>2282</v>
      </c>
      <c r="F845" s="6" t="s">
        <v>2286</v>
      </c>
      <c r="G845" s="6" t="s">
        <v>16</v>
      </c>
      <c r="H845" s="5">
        <v>4</v>
      </c>
      <c r="I845" s="6" t="s">
        <v>2287</v>
      </c>
      <c r="J845" s="5">
        <v>2000</v>
      </c>
    </row>
    <row r="846" s="2" customFormat="1" spans="1:10">
      <c r="A846" s="6">
        <f>844</f>
        <v>844</v>
      </c>
      <c r="B846" s="6" t="s">
        <v>2288</v>
      </c>
      <c r="C846" s="6" t="s">
        <v>12</v>
      </c>
      <c r="D846" s="6" t="s">
        <v>2281</v>
      </c>
      <c r="E846" s="6" t="s">
        <v>2282</v>
      </c>
      <c r="F846" s="6" t="s">
        <v>2289</v>
      </c>
      <c r="G846" s="6" t="s">
        <v>16</v>
      </c>
      <c r="H846" s="5">
        <v>3</v>
      </c>
      <c r="I846" s="6" t="s">
        <v>2290</v>
      </c>
      <c r="J846" s="5">
        <v>567</v>
      </c>
    </row>
    <row r="847" s="2" customFormat="1" ht="27" spans="1:10">
      <c r="A847" s="6">
        <f>845</f>
        <v>845</v>
      </c>
      <c r="B847" s="6" t="s">
        <v>2291</v>
      </c>
      <c r="C847" s="6" t="s">
        <v>12</v>
      </c>
      <c r="D847" s="6" t="s">
        <v>2281</v>
      </c>
      <c r="E847" s="6" t="s">
        <v>2282</v>
      </c>
      <c r="F847" s="6" t="s">
        <v>2292</v>
      </c>
      <c r="G847" s="6" t="s">
        <v>16</v>
      </c>
      <c r="H847" s="5">
        <v>5</v>
      </c>
      <c r="I847" s="6" t="s">
        <v>2293</v>
      </c>
      <c r="J847" s="5">
        <v>515</v>
      </c>
    </row>
    <row r="848" s="2" customFormat="1" spans="1:10">
      <c r="A848" s="6">
        <f>846</f>
        <v>846</v>
      </c>
      <c r="B848" s="6" t="s">
        <v>2294</v>
      </c>
      <c r="C848" s="6" t="s">
        <v>12</v>
      </c>
      <c r="D848" s="6" t="s">
        <v>2281</v>
      </c>
      <c r="E848" s="6" t="s">
        <v>2282</v>
      </c>
      <c r="F848" s="6" t="s">
        <v>2295</v>
      </c>
      <c r="G848" s="6" t="s">
        <v>16</v>
      </c>
      <c r="H848" s="5">
        <v>2</v>
      </c>
      <c r="I848" s="6" t="s">
        <v>2296</v>
      </c>
      <c r="J848" s="5">
        <v>980</v>
      </c>
    </row>
    <row r="849" s="2" customFormat="1" spans="1:10">
      <c r="A849" s="6">
        <f>847</f>
        <v>847</v>
      </c>
      <c r="B849" s="6" t="s">
        <v>2297</v>
      </c>
      <c r="C849" s="6" t="s">
        <v>12</v>
      </c>
      <c r="D849" s="6" t="s">
        <v>2281</v>
      </c>
      <c r="E849" s="6" t="s">
        <v>2282</v>
      </c>
      <c r="F849" s="6" t="s">
        <v>2298</v>
      </c>
      <c r="G849" s="6" t="s">
        <v>16</v>
      </c>
      <c r="H849" s="5">
        <v>1</v>
      </c>
      <c r="I849" s="6" t="s">
        <v>2298</v>
      </c>
      <c r="J849" s="5">
        <v>340</v>
      </c>
    </row>
    <row r="850" s="2" customFormat="1" ht="27" spans="1:10">
      <c r="A850" s="6">
        <f>848</f>
        <v>848</v>
      </c>
      <c r="B850" s="6" t="s">
        <v>2299</v>
      </c>
      <c r="C850" s="6" t="s">
        <v>12</v>
      </c>
      <c r="D850" s="6" t="s">
        <v>2281</v>
      </c>
      <c r="E850" s="6" t="s">
        <v>2282</v>
      </c>
      <c r="F850" s="6" t="s">
        <v>2300</v>
      </c>
      <c r="G850" s="6" t="s">
        <v>16</v>
      </c>
      <c r="H850" s="5">
        <v>6</v>
      </c>
      <c r="I850" s="6" t="s">
        <v>2301</v>
      </c>
      <c r="J850" s="5">
        <v>760</v>
      </c>
    </row>
    <row r="851" s="2" customFormat="1" spans="1:10">
      <c r="A851" s="6">
        <f>849</f>
        <v>849</v>
      </c>
      <c r="B851" s="6" t="s">
        <v>2302</v>
      </c>
      <c r="C851" s="6" t="s">
        <v>12</v>
      </c>
      <c r="D851" s="6" t="s">
        <v>2281</v>
      </c>
      <c r="E851" s="6" t="s">
        <v>2282</v>
      </c>
      <c r="F851" s="6" t="s">
        <v>2303</v>
      </c>
      <c r="G851" s="6" t="s">
        <v>16</v>
      </c>
      <c r="H851" s="5">
        <v>2</v>
      </c>
      <c r="I851" s="6" t="s">
        <v>2304</v>
      </c>
      <c r="J851" s="5">
        <v>520</v>
      </c>
    </row>
    <row r="852" s="2" customFormat="1" spans="1:10">
      <c r="A852" s="6">
        <f>850</f>
        <v>850</v>
      </c>
      <c r="B852" s="6" t="s">
        <v>2305</v>
      </c>
      <c r="C852" s="6" t="s">
        <v>12</v>
      </c>
      <c r="D852" s="6" t="s">
        <v>2281</v>
      </c>
      <c r="E852" s="6" t="s">
        <v>2282</v>
      </c>
      <c r="F852" s="6" t="s">
        <v>2306</v>
      </c>
      <c r="G852" s="6" t="s">
        <v>16</v>
      </c>
      <c r="H852" s="5">
        <v>2</v>
      </c>
      <c r="I852" s="6" t="s">
        <v>2307</v>
      </c>
      <c r="J852" s="5">
        <v>760</v>
      </c>
    </row>
    <row r="853" s="2" customFormat="1" spans="1:10">
      <c r="A853" s="6">
        <f>851</f>
        <v>851</v>
      </c>
      <c r="B853" s="6" t="s">
        <v>2308</v>
      </c>
      <c r="C853" s="6" t="s">
        <v>12</v>
      </c>
      <c r="D853" s="6" t="s">
        <v>2281</v>
      </c>
      <c r="E853" s="6" t="s">
        <v>2282</v>
      </c>
      <c r="F853" s="6" t="s">
        <v>2309</v>
      </c>
      <c r="G853" s="6" t="s">
        <v>16</v>
      </c>
      <c r="H853" s="5">
        <v>1</v>
      </c>
      <c r="I853" s="6" t="s">
        <v>2309</v>
      </c>
      <c r="J853" s="5">
        <v>540</v>
      </c>
    </row>
    <row r="854" s="2" customFormat="1" spans="1:10">
      <c r="A854" s="6">
        <f>852</f>
        <v>852</v>
      </c>
      <c r="B854" s="6" t="s">
        <v>2310</v>
      </c>
      <c r="C854" s="6" t="s">
        <v>12</v>
      </c>
      <c r="D854" s="6" t="s">
        <v>2281</v>
      </c>
      <c r="E854" s="6" t="s">
        <v>2282</v>
      </c>
      <c r="F854" s="6" t="s">
        <v>2311</v>
      </c>
      <c r="G854" s="6" t="s">
        <v>16</v>
      </c>
      <c r="H854" s="5">
        <v>2</v>
      </c>
      <c r="I854" s="6" t="s">
        <v>2312</v>
      </c>
      <c r="J854" s="5">
        <v>680</v>
      </c>
    </row>
    <row r="855" s="2" customFormat="1" ht="27" spans="1:10">
      <c r="A855" s="6">
        <f>853</f>
        <v>853</v>
      </c>
      <c r="B855" s="6" t="s">
        <v>2313</v>
      </c>
      <c r="C855" s="6" t="s">
        <v>12</v>
      </c>
      <c r="D855" s="6" t="s">
        <v>2281</v>
      </c>
      <c r="E855" s="6" t="s">
        <v>2282</v>
      </c>
      <c r="F855" s="6" t="s">
        <v>2314</v>
      </c>
      <c r="G855" s="6" t="s">
        <v>16</v>
      </c>
      <c r="H855" s="5">
        <v>5</v>
      </c>
      <c r="I855" s="6" t="s">
        <v>2315</v>
      </c>
      <c r="J855" s="5">
        <v>515</v>
      </c>
    </row>
    <row r="856" s="2" customFormat="1" ht="27" spans="1:10">
      <c r="A856" s="6">
        <f>854</f>
        <v>854</v>
      </c>
      <c r="B856" s="6" t="s">
        <v>2316</v>
      </c>
      <c r="C856" s="6" t="s">
        <v>12</v>
      </c>
      <c r="D856" s="6" t="s">
        <v>2281</v>
      </c>
      <c r="E856" s="6" t="s">
        <v>2282</v>
      </c>
      <c r="F856" s="6" t="s">
        <v>2317</v>
      </c>
      <c r="G856" s="6" t="s">
        <v>16</v>
      </c>
      <c r="H856" s="5">
        <v>6</v>
      </c>
      <c r="I856" s="6" t="s">
        <v>2318</v>
      </c>
      <c r="J856" s="5">
        <v>1880</v>
      </c>
    </row>
    <row r="857" s="2" customFormat="1" spans="1:10">
      <c r="A857" s="6">
        <f>855</f>
        <v>855</v>
      </c>
      <c r="B857" s="6" t="s">
        <v>2319</v>
      </c>
      <c r="C857" s="6" t="s">
        <v>12</v>
      </c>
      <c r="D857" s="6" t="s">
        <v>2281</v>
      </c>
      <c r="E857" s="6" t="s">
        <v>2282</v>
      </c>
      <c r="F857" s="6" t="s">
        <v>2320</v>
      </c>
      <c r="G857" s="6" t="s">
        <v>16</v>
      </c>
      <c r="H857" s="5">
        <v>3</v>
      </c>
      <c r="I857" s="6" t="s">
        <v>2321</v>
      </c>
      <c r="J857" s="5">
        <v>507</v>
      </c>
    </row>
    <row r="858" s="2" customFormat="1" spans="1:10">
      <c r="A858" s="6">
        <f>856</f>
        <v>856</v>
      </c>
      <c r="B858" s="6" t="s">
        <v>2322</v>
      </c>
      <c r="C858" s="6" t="s">
        <v>12</v>
      </c>
      <c r="D858" s="6" t="s">
        <v>2281</v>
      </c>
      <c r="E858" s="6" t="s">
        <v>2282</v>
      </c>
      <c r="F858" s="6" t="s">
        <v>2323</v>
      </c>
      <c r="G858" s="6" t="s">
        <v>16</v>
      </c>
      <c r="H858" s="5">
        <v>2</v>
      </c>
      <c r="I858" s="6" t="s">
        <v>2324</v>
      </c>
      <c r="J858" s="5">
        <v>406</v>
      </c>
    </row>
    <row r="859" s="2" customFormat="1" spans="1:10">
      <c r="A859" s="6">
        <f>857</f>
        <v>857</v>
      </c>
      <c r="B859" s="6" t="s">
        <v>2325</v>
      </c>
      <c r="C859" s="6" t="s">
        <v>12</v>
      </c>
      <c r="D859" s="6" t="s">
        <v>2281</v>
      </c>
      <c r="E859" s="6" t="s">
        <v>2282</v>
      </c>
      <c r="F859" s="6" t="s">
        <v>2326</v>
      </c>
      <c r="G859" s="6" t="s">
        <v>16</v>
      </c>
      <c r="H859" s="5">
        <v>3</v>
      </c>
      <c r="I859" s="6" t="s">
        <v>2327</v>
      </c>
      <c r="J859" s="5">
        <v>677</v>
      </c>
    </row>
    <row r="860" s="2" customFormat="1" spans="1:10">
      <c r="A860" s="6">
        <f>858</f>
        <v>858</v>
      </c>
      <c r="B860" s="6" t="s">
        <v>2328</v>
      </c>
      <c r="C860" s="6" t="s">
        <v>12</v>
      </c>
      <c r="D860" s="6" t="s">
        <v>2281</v>
      </c>
      <c r="E860" s="6" t="s">
        <v>2282</v>
      </c>
      <c r="F860" s="6" t="s">
        <v>2329</v>
      </c>
      <c r="G860" s="6" t="s">
        <v>16</v>
      </c>
      <c r="H860" s="5">
        <v>2</v>
      </c>
      <c r="I860" s="6" t="s">
        <v>2330</v>
      </c>
      <c r="J860" s="5">
        <v>535</v>
      </c>
    </row>
    <row r="861" s="2" customFormat="1" spans="1:10">
      <c r="A861" s="6">
        <f>859</f>
        <v>859</v>
      </c>
      <c r="B861" s="6" t="s">
        <v>2331</v>
      </c>
      <c r="C861" s="6" t="s">
        <v>12</v>
      </c>
      <c r="D861" s="6" t="s">
        <v>2281</v>
      </c>
      <c r="E861" s="6" t="s">
        <v>2282</v>
      </c>
      <c r="F861" s="6" t="s">
        <v>2332</v>
      </c>
      <c r="G861" s="6" t="s">
        <v>16</v>
      </c>
      <c r="H861" s="5">
        <v>2</v>
      </c>
      <c r="I861" s="6" t="s">
        <v>2333</v>
      </c>
      <c r="J861" s="5">
        <v>580</v>
      </c>
    </row>
    <row r="862" s="2" customFormat="1" spans="1:10">
      <c r="A862" s="6">
        <f>860</f>
        <v>860</v>
      </c>
      <c r="B862" s="6" t="s">
        <v>2334</v>
      </c>
      <c r="C862" s="6" t="s">
        <v>12</v>
      </c>
      <c r="D862" s="6" t="s">
        <v>2281</v>
      </c>
      <c r="E862" s="6" t="s">
        <v>2282</v>
      </c>
      <c r="F862" s="6" t="s">
        <v>2335</v>
      </c>
      <c r="G862" s="6" t="s">
        <v>16</v>
      </c>
      <c r="H862" s="5">
        <v>3</v>
      </c>
      <c r="I862" s="6" t="s">
        <v>2336</v>
      </c>
      <c r="J862" s="5">
        <v>620</v>
      </c>
    </row>
    <row r="863" s="2" customFormat="1" spans="1:10">
      <c r="A863" s="6">
        <f>861</f>
        <v>861</v>
      </c>
      <c r="B863" s="6" t="s">
        <v>2337</v>
      </c>
      <c r="C863" s="6" t="s">
        <v>12</v>
      </c>
      <c r="D863" s="6" t="s">
        <v>2281</v>
      </c>
      <c r="E863" s="6" t="s">
        <v>2282</v>
      </c>
      <c r="F863" s="6" t="s">
        <v>2338</v>
      </c>
      <c r="G863" s="6" t="s">
        <v>16</v>
      </c>
      <c r="H863" s="5">
        <v>3</v>
      </c>
      <c r="I863" s="6" t="s">
        <v>2339</v>
      </c>
      <c r="J863" s="5">
        <v>720</v>
      </c>
    </row>
    <row r="864" s="2" customFormat="1" spans="1:10">
      <c r="A864" s="6">
        <f>862</f>
        <v>862</v>
      </c>
      <c r="B864" s="6" t="s">
        <v>2340</v>
      </c>
      <c r="C864" s="6" t="s">
        <v>12</v>
      </c>
      <c r="D864" s="6" t="s">
        <v>2281</v>
      </c>
      <c r="E864" s="6" t="s">
        <v>2282</v>
      </c>
      <c r="F864" s="6" t="s">
        <v>2341</v>
      </c>
      <c r="G864" s="6" t="s">
        <v>16</v>
      </c>
      <c r="H864" s="5">
        <v>2</v>
      </c>
      <c r="I864" s="6" t="s">
        <v>2342</v>
      </c>
      <c r="J864" s="5">
        <v>486</v>
      </c>
    </row>
    <row r="865" s="2" customFormat="1" spans="1:10">
      <c r="A865" s="6">
        <f>863</f>
        <v>863</v>
      </c>
      <c r="B865" s="6" t="s">
        <v>2343</v>
      </c>
      <c r="C865" s="6" t="s">
        <v>12</v>
      </c>
      <c r="D865" s="6" t="s">
        <v>2281</v>
      </c>
      <c r="E865" s="6" t="s">
        <v>2282</v>
      </c>
      <c r="F865" s="6" t="s">
        <v>2344</v>
      </c>
      <c r="G865" s="6" t="s">
        <v>16</v>
      </c>
      <c r="H865" s="5">
        <v>1</v>
      </c>
      <c r="I865" s="6" t="s">
        <v>2344</v>
      </c>
      <c r="J865" s="5">
        <v>380</v>
      </c>
    </row>
    <row r="866" s="2" customFormat="1" spans="1:10">
      <c r="A866" s="6">
        <f>864</f>
        <v>864</v>
      </c>
      <c r="B866" s="6" t="s">
        <v>2345</v>
      </c>
      <c r="C866" s="6" t="s">
        <v>12</v>
      </c>
      <c r="D866" s="6" t="s">
        <v>2281</v>
      </c>
      <c r="E866" s="6" t="s">
        <v>2282</v>
      </c>
      <c r="F866" s="6" t="s">
        <v>2346</v>
      </c>
      <c r="G866" s="6" t="s">
        <v>16</v>
      </c>
      <c r="H866" s="5">
        <v>2</v>
      </c>
      <c r="I866" s="6" t="s">
        <v>2347</v>
      </c>
      <c r="J866" s="5">
        <v>540</v>
      </c>
    </row>
    <row r="867" s="2" customFormat="1" spans="1:10">
      <c r="A867" s="6">
        <f>865</f>
        <v>865</v>
      </c>
      <c r="B867" s="6" t="s">
        <v>2348</v>
      </c>
      <c r="C867" s="6" t="s">
        <v>12</v>
      </c>
      <c r="D867" s="6" t="s">
        <v>2281</v>
      </c>
      <c r="E867" s="6" t="s">
        <v>2282</v>
      </c>
      <c r="F867" s="6" t="s">
        <v>2349</v>
      </c>
      <c r="G867" s="6" t="s">
        <v>16</v>
      </c>
      <c r="H867" s="5">
        <v>1</v>
      </c>
      <c r="I867" s="6" t="s">
        <v>2349</v>
      </c>
      <c r="J867" s="5">
        <v>320</v>
      </c>
    </row>
    <row r="868" s="2" customFormat="1" spans="1:10">
      <c r="A868" s="6">
        <f>866</f>
        <v>866</v>
      </c>
      <c r="B868" s="6" t="s">
        <v>2350</v>
      </c>
      <c r="C868" s="6" t="s">
        <v>12</v>
      </c>
      <c r="D868" s="6" t="s">
        <v>2281</v>
      </c>
      <c r="E868" s="6" t="s">
        <v>2282</v>
      </c>
      <c r="F868" s="6" t="s">
        <v>2351</v>
      </c>
      <c r="G868" s="6" t="s">
        <v>16</v>
      </c>
      <c r="H868" s="5">
        <v>1</v>
      </c>
      <c r="I868" s="6" t="s">
        <v>2351</v>
      </c>
      <c r="J868" s="5">
        <v>243</v>
      </c>
    </row>
    <row r="869" s="2" customFormat="1" spans="1:10">
      <c r="A869" s="6">
        <f>867</f>
        <v>867</v>
      </c>
      <c r="B869" s="6" t="s">
        <v>2352</v>
      </c>
      <c r="C869" s="6" t="s">
        <v>12</v>
      </c>
      <c r="D869" s="6" t="s">
        <v>2281</v>
      </c>
      <c r="E869" s="6" t="s">
        <v>2282</v>
      </c>
      <c r="F869" s="6" t="s">
        <v>2353</v>
      </c>
      <c r="G869" s="6" t="s">
        <v>16</v>
      </c>
      <c r="H869" s="5">
        <v>3</v>
      </c>
      <c r="I869" s="6" t="s">
        <v>2354</v>
      </c>
      <c r="J869" s="5">
        <v>480</v>
      </c>
    </row>
    <row r="870" s="2" customFormat="1" spans="1:10">
      <c r="A870" s="6">
        <f>868</f>
        <v>868</v>
      </c>
      <c r="B870" s="6" t="s">
        <v>2355</v>
      </c>
      <c r="C870" s="6" t="s">
        <v>12</v>
      </c>
      <c r="D870" s="6" t="s">
        <v>2281</v>
      </c>
      <c r="E870" s="6" t="s">
        <v>2282</v>
      </c>
      <c r="F870" s="6" t="s">
        <v>2356</v>
      </c>
      <c r="G870" s="6" t="s">
        <v>16</v>
      </c>
      <c r="H870" s="5">
        <v>1</v>
      </c>
      <c r="I870" s="6" t="s">
        <v>2356</v>
      </c>
      <c r="J870" s="5">
        <v>270</v>
      </c>
    </row>
    <row r="871" s="2" customFormat="1" ht="27" spans="1:10">
      <c r="A871" s="6">
        <f>869</f>
        <v>869</v>
      </c>
      <c r="B871" s="6" t="s">
        <v>2357</v>
      </c>
      <c r="C871" s="6" t="s">
        <v>12</v>
      </c>
      <c r="D871" s="6" t="s">
        <v>2281</v>
      </c>
      <c r="E871" s="6" t="s">
        <v>2282</v>
      </c>
      <c r="F871" s="6" t="s">
        <v>2358</v>
      </c>
      <c r="G871" s="6" t="s">
        <v>16</v>
      </c>
      <c r="H871" s="5">
        <v>4</v>
      </c>
      <c r="I871" s="6" t="s">
        <v>2359</v>
      </c>
      <c r="J871" s="5">
        <v>1500</v>
      </c>
    </row>
    <row r="872" s="2" customFormat="1" spans="1:10">
      <c r="A872" s="6">
        <f>870</f>
        <v>870</v>
      </c>
      <c r="B872" s="6" t="s">
        <v>2360</v>
      </c>
      <c r="C872" s="6" t="s">
        <v>12</v>
      </c>
      <c r="D872" s="6" t="s">
        <v>2281</v>
      </c>
      <c r="E872" s="6" t="s">
        <v>2282</v>
      </c>
      <c r="F872" s="6" t="s">
        <v>2361</v>
      </c>
      <c r="G872" s="6" t="s">
        <v>16</v>
      </c>
      <c r="H872" s="5">
        <v>1</v>
      </c>
      <c r="I872" s="6" t="s">
        <v>2361</v>
      </c>
      <c r="J872" s="5">
        <v>366</v>
      </c>
    </row>
    <row r="873" s="2" customFormat="1" spans="1:10">
      <c r="A873" s="6">
        <f>871</f>
        <v>871</v>
      </c>
      <c r="B873" s="6" t="s">
        <v>2362</v>
      </c>
      <c r="C873" s="6" t="s">
        <v>12</v>
      </c>
      <c r="D873" s="6" t="s">
        <v>2281</v>
      </c>
      <c r="E873" s="6" t="s">
        <v>2282</v>
      </c>
      <c r="F873" s="6" t="s">
        <v>2363</v>
      </c>
      <c r="G873" s="6" t="s">
        <v>16</v>
      </c>
      <c r="H873" s="5">
        <v>2</v>
      </c>
      <c r="I873" s="6" t="s">
        <v>2364</v>
      </c>
      <c r="J873" s="5">
        <v>309</v>
      </c>
    </row>
    <row r="874" s="2" customFormat="1" spans="1:10">
      <c r="A874" s="6">
        <f>872</f>
        <v>872</v>
      </c>
      <c r="B874" s="6" t="s">
        <v>2365</v>
      </c>
      <c r="C874" s="6" t="s">
        <v>12</v>
      </c>
      <c r="D874" s="6" t="s">
        <v>2281</v>
      </c>
      <c r="E874" s="6" t="s">
        <v>2282</v>
      </c>
      <c r="F874" s="6" t="s">
        <v>2366</v>
      </c>
      <c r="G874" s="6" t="s">
        <v>16</v>
      </c>
      <c r="H874" s="5">
        <v>3</v>
      </c>
      <c r="I874" s="6" t="s">
        <v>2367</v>
      </c>
      <c r="J874" s="5">
        <v>570</v>
      </c>
    </row>
    <row r="875" s="2" customFormat="1" spans="1:10">
      <c r="A875" s="6">
        <f>873</f>
        <v>873</v>
      </c>
      <c r="B875" s="6" t="s">
        <v>2368</v>
      </c>
      <c r="C875" s="6" t="s">
        <v>12</v>
      </c>
      <c r="D875" s="6" t="s">
        <v>2281</v>
      </c>
      <c r="E875" s="6" t="s">
        <v>2282</v>
      </c>
      <c r="F875" s="6" t="s">
        <v>2369</v>
      </c>
      <c r="G875" s="6" t="s">
        <v>16</v>
      </c>
      <c r="H875" s="5">
        <v>1</v>
      </c>
      <c r="I875" s="6" t="s">
        <v>2369</v>
      </c>
      <c r="J875" s="5">
        <v>240</v>
      </c>
    </row>
    <row r="876" s="2" customFormat="1" spans="1:10">
      <c r="A876" s="6">
        <f>874</f>
        <v>874</v>
      </c>
      <c r="B876" s="6" t="s">
        <v>2370</v>
      </c>
      <c r="C876" s="6" t="s">
        <v>12</v>
      </c>
      <c r="D876" s="6" t="s">
        <v>2281</v>
      </c>
      <c r="E876" s="6" t="s">
        <v>2282</v>
      </c>
      <c r="F876" s="6" t="s">
        <v>2371</v>
      </c>
      <c r="G876" s="6" t="s">
        <v>16</v>
      </c>
      <c r="H876" s="5">
        <v>1</v>
      </c>
      <c r="I876" s="6" t="s">
        <v>2371</v>
      </c>
      <c r="J876" s="5">
        <v>340</v>
      </c>
    </row>
    <row r="877" s="2" customFormat="1" spans="1:10">
      <c r="A877" s="6">
        <f>875</f>
        <v>875</v>
      </c>
      <c r="B877" s="6" t="s">
        <v>2372</v>
      </c>
      <c r="C877" s="6" t="s">
        <v>12</v>
      </c>
      <c r="D877" s="6" t="s">
        <v>2281</v>
      </c>
      <c r="E877" s="6" t="s">
        <v>2282</v>
      </c>
      <c r="F877" s="6" t="s">
        <v>2373</v>
      </c>
      <c r="G877" s="6" t="s">
        <v>16</v>
      </c>
      <c r="H877" s="5">
        <v>1</v>
      </c>
      <c r="I877" s="6" t="s">
        <v>2373</v>
      </c>
      <c r="J877" s="5">
        <v>327</v>
      </c>
    </row>
    <row r="878" s="2" customFormat="1" spans="1:10">
      <c r="A878" s="6">
        <f>876</f>
        <v>876</v>
      </c>
      <c r="B878" s="6" t="s">
        <v>2374</v>
      </c>
      <c r="C878" s="6" t="s">
        <v>12</v>
      </c>
      <c r="D878" s="6" t="s">
        <v>2281</v>
      </c>
      <c r="E878" s="6" t="s">
        <v>2282</v>
      </c>
      <c r="F878" s="6" t="s">
        <v>2375</v>
      </c>
      <c r="G878" s="6" t="s">
        <v>16</v>
      </c>
      <c r="H878" s="5">
        <v>2</v>
      </c>
      <c r="I878" s="6" t="s">
        <v>2376</v>
      </c>
      <c r="J878" s="5">
        <v>680</v>
      </c>
    </row>
    <row r="879" s="2" customFormat="1" spans="1:10">
      <c r="A879" s="6">
        <f>877</f>
        <v>877</v>
      </c>
      <c r="B879" s="6" t="s">
        <v>2377</v>
      </c>
      <c r="C879" s="6" t="s">
        <v>12</v>
      </c>
      <c r="D879" s="6" t="s">
        <v>2281</v>
      </c>
      <c r="E879" s="6" t="s">
        <v>2282</v>
      </c>
      <c r="F879" s="6" t="s">
        <v>2378</v>
      </c>
      <c r="G879" s="6" t="s">
        <v>16</v>
      </c>
      <c r="H879" s="5">
        <v>2</v>
      </c>
      <c r="I879" s="6" t="s">
        <v>2379</v>
      </c>
      <c r="J879" s="5">
        <v>338</v>
      </c>
    </row>
    <row r="880" s="2" customFormat="1" spans="1:10">
      <c r="A880" s="6">
        <f>878</f>
        <v>878</v>
      </c>
      <c r="B880" s="6" t="s">
        <v>2380</v>
      </c>
      <c r="C880" s="6" t="s">
        <v>12</v>
      </c>
      <c r="D880" s="6" t="s">
        <v>2281</v>
      </c>
      <c r="E880" s="6" t="s">
        <v>2282</v>
      </c>
      <c r="F880" s="6" t="s">
        <v>2381</v>
      </c>
      <c r="G880" s="6" t="s">
        <v>16</v>
      </c>
      <c r="H880" s="5">
        <v>3</v>
      </c>
      <c r="I880" s="6" t="s">
        <v>2382</v>
      </c>
      <c r="J880" s="5">
        <v>416</v>
      </c>
    </row>
    <row r="881" s="2" customFormat="1" spans="1:10">
      <c r="A881" s="6">
        <f>879</f>
        <v>879</v>
      </c>
      <c r="B881" s="6" t="s">
        <v>2383</v>
      </c>
      <c r="C881" s="6" t="s">
        <v>12</v>
      </c>
      <c r="D881" s="6" t="s">
        <v>2281</v>
      </c>
      <c r="E881" s="6" t="s">
        <v>2282</v>
      </c>
      <c r="F881" s="6" t="s">
        <v>2384</v>
      </c>
      <c r="G881" s="6" t="s">
        <v>16</v>
      </c>
      <c r="H881" s="5">
        <v>1</v>
      </c>
      <c r="I881" s="6" t="s">
        <v>2384</v>
      </c>
      <c r="J881" s="5">
        <v>199</v>
      </c>
    </row>
    <row r="882" s="2" customFormat="1" spans="1:10">
      <c r="A882" s="6">
        <f>880</f>
        <v>880</v>
      </c>
      <c r="B882" s="6" t="s">
        <v>2385</v>
      </c>
      <c r="C882" s="6" t="s">
        <v>12</v>
      </c>
      <c r="D882" s="6" t="s">
        <v>2281</v>
      </c>
      <c r="E882" s="6" t="s">
        <v>2282</v>
      </c>
      <c r="F882" s="6" t="s">
        <v>2386</v>
      </c>
      <c r="G882" s="6" t="s">
        <v>16</v>
      </c>
      <c r="H882" s="5">
        <v>1</v>
      </c>
      <c r="I882" s="6" t="s">
        <v>2386</v>
      </c>
      <c r="J882" s="5">
        <v>235</v>
      </c>
    </row>
    <row r="883" s="2" customFormat="1" spans="1:10">
      <c r="A883" s="6">
        <f>881</f>
        <v>881</v>
      </c>
      <c r="B883" s="6" t="s">
        <v>2387</v>
      </c>
      <c r="C883" s="6" t="s">
        <v>12</v>
      </c>
      <c r="D883" s="6" t="s">
        <v>2281</v>
      </c>
      <c r="E883" s="6" t="s">
        <v>2282</v>
      </c>
      <c r="F883" s="6" t="s">
        <v>2388</v>
      </c>
      <c r="G883" s="6" t="s">
        <v>16</v>
      </c>
      <c r="H883" s="5">
        <v>1</v>
      </c>
      <c r="I883" s="6" t="s">
        <v>2388</v>
      </c>
      <c r="J883" s="5">
        <v>255</v>
      </c>
    </row>
    <row r="884" s="2" customFormat="1" spans="1:10">
      <c r="A884" s="6">
        <f>882</f>
        <v>882</v>
      </c>
      <c r="B884" s="6" t="s">
        <v>2389</v>
      </c>
      <c r="C884" s="6" t="s">
        <v>12</v>
      </c>
      <c r="D884" s="6" t="s">
        <v>2281</v>
      </c>
      <c r="E884" s="6" t="s">
        <v>2282</v>
      </c>
      <c r="F884" s="6" t="s">
        <v>2390</v>
      </c>
      <c r="G884" s="6" t="s">
        <v>16</v>
      </c>
      <c r="H884" s="5">
        <v>1</v>
      </c>
      <c r="I884" s="6" t="s">
        <v>2390</v>
      </c>
      <c r="J884" s="5">
        <v>235</v>
      </c>
    </row>
    <row r="885" s="2" customFormat="1" ht="27" spans="1:10">
      <c r="A885" s="6">
        <f>883</f>
        <v>883</v>
      </c>
      <c r="B885" s="6" t="s">
        <v>2391</v>
      </c>
      <c r="C885" s="6" t="s">
        <v>12</v>
      </c>
      <c r="D885" s="6" t="s">
        <v>2281</v>
      </c>
      <c r="E885" s="6" t="s">
        <v>2282</v>
      </c>
      <c r="F885" s="6" t="s">
        <v>2392</v>
      </c>
      <c r="G885" s="6" t="s">
        <v>16</v>
      </c>
      <c r="H885" s="5">
        <v>4</v>
      </c>
      <c r="I885" s="6" t="s">
        <v>2393</v>
      </c>
      <c r="J885" s="5">
        <v>2160</v>
      </c>
    </row>
    <row r="886" s="2" customFormat="1" spans="1:10">
      <c r="A886" s="6">
        <f>884</f>
        <v>884</v>
      </c>
      <c r="B886" s="6" t="s">
        <v>2394</v>
      </c>
      <c r="C886" s="6" t="s">
        <v>12</v>
      </c>
      <c r="D886" s="6" t="s">
        <v>2281</v>
      </c>
      <c r="E886" s="6" t="s">
        <v>2282</v>
      </c>
      <c r="F886" s="6" t="s">
        <v>2395</v>
      </c>
      <c r="G886" s="6" t="s">
        <v>16</v>
      </c>
      <c r="H886" s="5">
        <v>1</v>
      </c>
      <c r="I886" s="6" t="s">
        <v>2395</v>
      </c>
      <c r="J886" s="5">
        <v>297</v>
      </c>
    </row>
    <row r="887" s="2" customFormat="1" spans="1:10">
      <c r="A887" s="6">
        <f>885</f>
        <v>885</v>
      </c>
      <c r="B887" s="6" t="s">
        <v>2396</v>
      </c>
      <c r="C887" s="6" t="s">
        <v>12</v>
      </c>
      <c r="D887" s="6" t="s">
        <v>2281</v>
      </c>
      <c r="E887" s="6" t="s">
        <v>2282</v>
      </c>
      <c r="F887" s="6" t="s">
        <v>710</v>
      </c>
      <c r="G887" s="6" t="s">
        <v>16</v>
      </c>
      <c r="H887" s="5">
        <v>2</v>
      </c>
      <c r="I887" s="6" t="s">
        <v>2397</v>
      </c>
      <c r="J887" s="5">
        <v>480</v>
      </c>
    </row>
    <row r="888" s="2" customFormat="1" spans="1:10">
      <c r="A888" s="6">
        <f>886</f>
        <v>886</v>
      </c>
      <c r="B888" s="6" t="s">
        <v>2398</v>
      </c>
      <c r="C888" s="6" t="s">
        <v>12</v>
      </c>
      <c r="D888" s="6" t="s">
        <v>2281</v>
      </c>
      <c r="E888" s="6" t="s">
        <v>2399</v>
      </c>
      <c r="F888" s="6" t="s">
        <v>2400</v>
      </c>
      <c r="G888" s="6" t="s">
        <v>16</v>
      </c>
      <c r="H888" s="5">
        <v>3</v>
      </c>
      <c r="I888" s="6" t="s">
        <v>2401</v>
      </c>
      <c r="J888" s="5">
        <v>515</v>
      </c>
    </row>
    <row r="889" s="2" customFormat="1" spans="1:10">
      <c r="A889" s="6">
        <f>887</f>
        <v>887</v>
      </c>
      <c r="B889" s="6" t="s">
        <v>2402</v>
      </c>
      <c r="C889" s="6" t="s">
        <v>12</v>
      </c>
      <c r="D889" s="6" t="s">
        <v>2281</v>
      </c>
      <c r="E889" s="6" t="s">
        <v>2399</v>
      </c>
      <c r="F889" s="6" t="s">
        <v>2403</v>
      </c>
      <c r="G889" s="6" t="s">
        <v>16</v>
      </c>
      <c r="H889" s="5">
        <v>1</v>
      </c>
      <c r="I889" s="6" t="s">
        <v>2403</v>
      </c>
      <c r="J889" s="5">
        <v>275</v>
      </c>
    </row>
    <row r="890" s="2" customFormat="1" spans="1:10">
      <c r="A890" s="6">
        <f>888</f>
        <v>888</v>
      </c>
      <c r="B890" s="6" t="s">
        <v>2404</v>
      </c>
      <c r="C890" s="6" t="s">
        <v>12</v>
      </c>
      <c r="D890" s="6" t="s">
        <v>2281</v>
      </c>
      <c r="E890" s="6" t="s">
        <v>2399</v>
      </c>
      <c r="F890" s="6" t="s">
        <v>2405</v>
      </c>
      <c r="G890" s="6" t="s">
        <v>16</v>
      </c>
      <c r="H890" s="5">
        <v>3</v>
      </c>
      <c r="I890" s="6" t="s">
        <v>2406</v>
      </c>
      <c r="J890" s="5">
        <v>280</v>
      </c>
    </row>
    <row r="891" s="2" customFormat="1" spans="1:10">
      <c r="A891" s="6">
        <f>889</f>
        <v>889</v>
      </c>
      <c r="B891" s="6" t="s">
        <v>2407</v>
      </c>
      <c r="C891" s="6" t="s">
        <v>12</v>
      </c>
      <c r="D891" s="6" t="s">
        <v>2281</v>
      </c>
      <c r="E891" s="6" t="s">
        <v>2399</v>
      </c>
      <c r="F891" s="6" t="s">
        <v>2408</v>
      </c>
      <c r="G891" s="6" t="s">
        <v>16</v>
      </c>
      <c r="H891" s="5">
        <v>1</v>
      </c>
      <c r="I891" s="6" t="s">
        <v>2408</v>
      </c>
      <c r="J891" s="5">
        <v>250</v>
      </c>
    </row>
    <row r="892" s="2" customFormat="1" spans="1:10">
      <c r="A892" s="6">
        <f>890</f>
        <v>890</v>
      </c>
      <c r="B892" s="6" t="s">
        <v>2409</v>
      </c>
      <c r="C892" s="6" t="s">
        <v>12</v>
      </c>
      <c r="D892" s="6" t="s">
        <v>2281</v>
      </c>
      <c r="E892" s="6" t="s">
        <v>2399</v>
      </c>
      <c r="F892" s="6" t="s">
        <v>2410</v>
      </c>
      <c r="G892" s="6" t="s">
        <v>16</v>
      </c>
      <c r="H892" s="5">
        <v>2</v>
      </c>
      <c r="I892" s="6" t="s">
        <v>2411</v>
      </c>
      <c r="J892" s="5">
        <v>250</v>
      </c>
    </row>
    <row r="893" s="2" customFormat="1" spans="1:10">
      <c r="A893" s="6">
        <f>891</f>
        <v>891</v>
      </c>
      <c r="B893" s="6" t="s">
        <v>2412</v>
      </c>
      <c r="C893" s="6" t="s">
        <v>12</v>
      </c>
      <c r="D893" s="6" t="s">
        <v>2281</v>
      </c>
      <c r="E893" s="6" t="s">
        <v>2399</v>
      </c>
      <c r="F893" s="6" t="s">
        <v>2413</v>
      </c>
      <c r="G893" s="6" t="s">
        <v>16</v>
      </c>
      <c r="H893" s="5">
        <v>1</v>
      </c>
      <c r="I893" s="6" t="s">
        <v>2413</v>
      </c>
      <c r="J893" s="5">
        <v>248</v>
      </c>
    </row>
    <row r="894" s="2" customFormat="1" ht="27" spans="1:10">
      <c r="A894" s="6">
        <f>892</f>
        <v>892</v>
      </c>
      <c r="B894" s="6" t="s">
        <v>2414</v>
      </c>
      <c r="C894" s="6" t="s">
        <v>12</v>
      </c>
      <c r="D894" s="6" t="s">
        <v>2281</v>
      </c>
      <c r="E894" s="6" t="s">
        <v>2399</v>
      </c>
      <c r="F894" s="6" t="s">
        <v>2415</v>
      </c>
      <c r="G894" s="6" t="s">
        <v>16</v>
      </c>
      <c r="H894" s="5">
        <v>5</v>
      </c>
      <c r="I894" s="6" t="s">
        <v>2416</v>
      </c>
      <c r="J894" s="5">
        <v>1400</v>
      </c>
    </row>
    <row r="895" s="2" customFormat="1" spans="1:10">
      <c r="A895" s="6">
        <f>893</f>
        <v>893</v>
      </c>
      <c r="B895" s="6" t="s">
        <v>2417</v>
      </c>
      <c r="C895" s="6" t="s">
        <v>12</v>
      </c>
      <c r="D895" s="6" t="s">
        <v>2281</v>
      </c>
      <c r="E895" s="6" t="s">
        <v>2399</v>
      </c>
      <c r="F895" s="6" t="s">
        <v>2418</v>
      </c>
      <c r="G895" s="6" t="s">
        <v>16</v>
      </c>
      <c r="H895" s="5">
        <v>1</v>
      </c>
      <c r="I895" s="6" t="s">
        <v>2418</v>
      </c>
      <c r="J895" s="5">
        <v>390</v>
      </c>
    </row>
    <row r="896" s="2" customFormat="1" ht="27" spans="1:10">
      <c r="A896" s="6">
        <f>894</f>
        <v>894</v>
      </c>
      <c r="B896" s="6" t="s">
        <v>2419</v>
      </c>
      <c r="C896" s="6" t="s">
        <v>12</v>
      </c>
      <c r="D896" s="6" t="s">
        <v>2281</v>
      </c>
      <c r="E896" s="6" t="s">
        <v>2399</v>
      </c>
      <c r="F896" s="6" t="s">
        <v>2420</v>
      </c>
      <c r="G896" s="6" t="s">
        <v>16</v>
      </c>
      <c r="H896" s="5">
        <v>4</v>
      </c>
      <c r="I896" s="6" t="s">
        <v>2421</v>
      </c>
      <c r="J896" s="5">
        <v>400</v>
      </c>
    </row>
    <row r="897" s="2" customFormat="1" ht="27" spans="1:10">
      <c r="A897" s="6">
        <f>895</f>
        <v>895</v>
      </c>
      <c r="B897" s="6" t="s">
        <v>2422</v>
      </c>
      <c r="C897" s="6" t="s">
        <v>12</v>
      </c>
      <c r="D897" s="6" t="s">
        <v>2281</v>
      </c>
      <c r="E897" s="6" t="s">
        <v>2399</v>
      </c>
      <c r="F897" s="6" t="s">
        <v>2423</v>
      </c>
      <c r="G897" s="6" t="s">
        <v>16</v>
      </c>
      <c r="H897" s="5">
        <v>4</v>
      </c>
      <c r="I897" s="6" t="s">
        <v>2424</v>
      </c>
      <c r="J897" s="5">
        <v>1420</v>
      </c>
    </row>
    <row r="898" s="2" customFormat="1" spans="1:10">
      <c r="A898" s="6">
        <f>896</f>
        <v>896</v>
      </c>
      <c r="B898" s="6" t="s">
        <v>2425</v>
      </c>
      <c r="C898" s="6" t="s">
        <v>12</v>
      </c>
      <c r="D898" s="6" t="s">
        <v>2281</v>
      </c>
      <c r="E898" s="6" t="s">
        <v>2399</v>
      </c>
      <c r="F898" s="6" t="s">
        <v>371</v>
      </c>
      <c r="G898" s="6" t="s">
        <v>16</v>
      </c>
      <c r="H898" s="5">
        <v>3</v>
      </c>
      <c r="I898" s="6" t="s">
        <v>2426</v>
      </c>
      <c r="J898" s="5">
        <v>380</v>
      </c>
    </row>
    <row r="899" s="2" customFormat="1" ht="27" spans="1:10">
      <c r="A899" s="6">
        <f>897</f>
        <v>897</v>
      </c>
      <c r="B899" s="6" t="s">
        <v>2427</v>
      </c>
      <c r="C899" s="6" t="s">
        <v>12</v>
      </c>
      <c r="D899" s="6" t="s">
        <v>2281</v>
      </c>
      <c r="E899" s="6" t="s">
        <v>2399</v>
      </c>
      <c r="F899" s="6" t="s">
        <v>2428</v>
      </c>
      <c r="G899" s="6" t="s">
        <v>16</v>
      </c>
      <c r="H899" s="5">
        <v>5</v>
      </c>
      <c r="I899" s="6" t="s">
        <v>2429</v>
      </c>
      <c r="J899" s="5">
        <v>1200</v>
      </c>
    </row>
    <row r="900" s="2" customFormat="1" spans="1:10">
      <c r="A900" s="6">
        <f>898</f>
        <v>898</v>
      </c>
      <c r="B900" s="6" t="s">
        <v>2430</v>
      </c>
      <c r="C900" s="6" t="s">
        <v>12</v>
      </c>
      <c r="D900" s="6" t="s">
        <v>2281</v>
      </c>
      <c r="E900" s="6" t="s">
        <v>2399</v>
      </c>
      <c r="F900" s="6" t="s">
        <v>2431</v>
      </c>
      <c r="G900" s="6" t="s">
        <v>16</v>
      </c>
      <c r="H900" s="5">
        <v>3</v>
      </c>
      <c r="I900" s="6" t="s">
        <v>2432</v>
      </c>
      <c r="J900" s="5">
        <v>260</v>
      </c>
    </row>
    <row r="901" s="2" customFormat="1" spans="1:10">
      <c r="A901" s="6">
        <f>899</f>
        <v>899</v>
      </c>
      <c r="B901" s="6" t="s">
        <v>2433</v>
      </c>
      <c r="C901" s="6" t="s">
        <v>12</v>
      </c>
      <c r="D901" s="6" t="s">
        <v>2281</v>
      </c>
      <c r="E901" s="6" t="s">
        <v>2399</v>
      </c>
      <c r="F901" s="6" t="s">
        <v>2434</v>
      </c>
      <c r="G901" s="6" t="s">
        <v>16</v>
      </c>
      <c r="H901" s="5">
        <v>3</v>
      </c>
      <c r="I901" s="6" t="s">
        <v>2435</v>
      </c>
      <c r="J901" s="5">
        <v>656</v>
      </c>
    </row>
    <row r="902" s="2" customFormat="1" spans="1:10">
      <c r="A902" s="6">
        <f>900</f>
        <v>900</v>
      </c>
      <c r="B902" s="6" t="s">
        <v>2436</v>
      </c>
      <c r="C902" s="6" t="s">
        <v>12</v>
      </c>
      <c r="D902" s="6" t="s">
        <v>2281</v>
      </c>
      <c r="E902" s="6" t="s">
        <v>2399</v>
      </c>
      <c r="F902" s="6" t="s">
        <v>2437</v>
      </c>
      <c r="G902" s="6" t="s">
        <v>16</v>
      </c>
      <c r="H902" s="5">
        <v>3</v>
      </c>
      <c r="I902" s="6" t="s">
        <v>2438</v>
      </c>
      <c r="J902" s="5">
        <v>380</v>
      </c>
    </row>
    <row r="903" s="2" customFormat="1" spans="1:10">
      <c r="A903" s="6">
        <f>901</f>
        <v>901</v>
      </c>
      <c r="B903" s="6" t="s">
        <v>2439</v>
      </c>
      <c r="C903" s="6" t="s">
        <v>12</v>
      </c>
      <c r="D903" s="6" t="s">
        <v>2281</v>
      </c>
      <c r="E903" s="6" t="s">
        <v>2399</v>
      </c>
      <c r="F903" s="6" t="s">
        <v>2440</v>
      </c>
      <c r="G903" s="6" t="s">
        <v>16</v>
      </c>
      <c r="H903" s="5">
        <v>1</v>
      </c>
      <c r="I903" s="6" t="s">
        <v>2440</v>
      </c>
      <c r="J903" s="5">
        <v>238</v>
      </c>
    </row>
    <row r="904" s="2" customFormat="1" spans="1:10">
      <c r="A904" s="6">
        <f>902</f>
        <v>902</v>
      </c>
      <c r="B904" s="6" t="s">
        <v>2441</v>
      </c>
      <c r="C904" s="6" t="s">
        <v>12</v>
      </c>
      <c r="D904" s="6" t="s">
        <v>2281</v>
      </c>
      <c r="E904" s="6" t="s">
        <v>2399</v>
      </c>
      <c r="F904" s="6" t="s">
        <v>2442</v>
      </c>
      <c r="G904" s="6" t="s">
        <v>16</v>
      </c>
      <c r="H904" s="5">
        <v>2</v>
      </c>
      <c r="I904" s="6" t="s">
        <v>2443</v>
      </c>
      <c r="J904" s="5">
        <v>1080</v>
      </c>
    </row>
    <row r="905" s="2" customFormat="1" ht="27" spans="1:10">
      <c r="A905" s="6">
        <f>903</f>
        <v>903</v>
      </c>
      <c r="B905" s="6" t="s">
        <v>2444</v>
      </c>
      <c r="C905" s="6" t="s">
        <v>12</v>
      </c>
      <c r="D905" s="6" t="s">
        <v>2281</v>
      </c>
      <c r="E905" s="6" t="s">
        <v>2399</v>
      </c>
      <c r="F905" s="6" t="s">
        <v>2445</v>
      </c>
      <c r="G905" s="6" t="s">
        <v>16</v>
      </c>
      <c r="H905" s="5">
        <v>4</v>
      </c>
      <c r="I905" s="6" t="s">
        <v>2446</v>
      </c>
      <c r="J905" s="5">
        <v>580</v>
      </c>
    </row>
    <row r="906" s="2" customFormat="1" ht="27" spans="1:10">
      <c r="A906" s="6">
        <f>904</f>
        <v>904</v>
      </c>
      <c r="B906" s="6" t="s">
        <v>2447</v>
      </c>
      <c r="C906" s="6" t="s">
        <v>12</v>
      </c>
      <c r="D906" s="6" t="s">
        <v>2281</v>
      </c>
      <c r="E906" s="6" t="s">
        <v>2399</v>
      </c>
      <c r="F906" s="6" t="s">
        <v>2448</v>
      </c>
      <c r="G906" s="6" t="s">
        <v>16</v>
      </c>
      <c r="H906" s="5">
        <v>4</v>
      </c>
      <c r="I906" s="6" t="s">
        <v>2449</v>
      </c>
      <c r="J906" s="5">
        <v>458</v>
      </c>
    </row>
    <row r="907" s="2" customFormat="1" spans="1:10">
      <c r="A907" s="6">
        <f>905</f>
        <v>905</v>
      </c>
      <c r="B907" s="6" t="s">
        <v>2450</v>
      </c>
      <c r="C907" s="6" t="s">
        <v>12</v>
      </c>
      <c r="D907" s="6" t="s">
        <v>2281</v>
      </c>
      <c r="E907" s="6" t="s">
        <v>2399</v>
      </c>
      <c r="F907" s="6" t="s">
        <v>2451</v>
      </c>
      <c r="G907" s="6" t="s">
        <v>16</v>
      </c>
      <c r="H907" s="5">
        <v>1</v>
      </c>
      <c r="I907" s="6" t="s">
        <v>2451</v>
      </c>
      <c r="J907" s="5">
        <v>287</v>
      </c>
    </row>
    <row r="908" s="2" customFormat="1" spans="1:10">
      <c r="A908" s="6">
        <f>906</f>
        <v>906</v>
      </c>
      <c r="B908" s="6" t="s">
        <v>2452</v>
      </c>
      <c r="C908" s="6" t="s">
        <v>12</v>
      </c>
      <c r="D908" s="6" t="s">
        <v>2281</v>
      </c>
      <c r="E908" s="6" t="s">
        <v>2399</v>
      </c>
      <c r="F908" s="6" t="s">
        <v>2453</v>
      </c>
      <c r="G908" s="6" t="s">
        <v>16</v>
      </c>
      <c r="H908" s="5">
        <v>3</v>
      </c>
      <c r="I908" s="6" t="s">
        <v>2454</v>
      </c>
      <c r="J908" s="5">
        <v>556</v>
      </c>
    </row>
    <row r="909" s="2" customFormat="1" spans="1:10">
      <c r="A909" s="6">
        <f>907</f>
        <v>907</v>
      </c>
      <c r="B909" s="6" t="s">
        <v>2455</v>
      </c>
      <c r="C909" s="6" t="s">
        <v>12</v>
      </c>
      <c r="D909" s="6" t="s">
        <v>2281</v>
      </c>
      <c r="E909" s="6" t="s">
        <v>2399</v>
      </c>
      <c r="F909" s="6" t="s">
        <v>2456</v>
      </c>
      <c r="G909" s="6" t="s">
        <v>16</v>
      </c>
      <c r="H909" s="5">
        <v>3</v>
      </c>
      <c r="I909" s="6" t="s">
        <v>2457</v>
      </c>
      <c r="J909" s="5">
        <v>611</v>
      </c>
    </row>
    <row r="910" s="2" customFormat="1" spans="1:10">
      <c r="A910" s="6">
        <f>908</f>
        <v>908</v>
      </c>
      <c r="B910" s="6" t="s">
        <v>2458</v>
      </c>
      <c r="C910" s="6" t="s">
        <v>12</v>
      </c>
      <c r="D910" s="6" t="s">
        <v>2281</v>
      </c>
      <c r="E910" s="6" t="s">
        <v>2399</v>
      </c>
      <c r="F910" s="6" t="s">
        <v>2459</v>
      </c>
      <c r="G910" s="6" t="s">
        <v>16</v>
      </c>
      <c r="H910" s="5">
        <v>1</v>
      </c>
      <c r="I910" s="6" t="s">
        <v>2459</v>
      </c>
      <c r="J910" s="5">
        <v>228</v>
      </c>
    </row>
    <row r="911" s="2" customFormat="1" spans="1:10">
      <c r="A911" s="6">
        <f>909</f>
        <v>909</v>
      </c>
      <c r="B911" s="6" t="s">
        <v>2460</v>
      </c>
      <c r="C911" s="6" t="s">
        <v>12</v>
      </c>
      <c r="D911" s="6" t="s">
        <v>2281</v>
      </c>
      <c r="E911" s="6" t="s">
        <v>2399</v>
      </c>
      <c r="F911" s="6" t="s">
        <v>2461</v>
      </c>
      <c r="G911" s="6" t="s">
        <v>16</v>
      </c>
      <c r="H911" s="5">
        <v>1</v>
      </c>
      <c r="I911" s="6" t="s">
        <v>2461</v>
      </c>
      <c r="J911" s="5">
        <v>278</v>
      </c>
    </row>
    <row r="912" s="2" customFormat="1" spans="1:10">
      <c r="A912" s="6">
        <f>910</f>
        <v>910</v>
      </c>
      <c r="B912" s="6" t="s">
        <v>2462</v>
      </c>
      <c r="C912" s="6" t="s">
        <v>12</v>
      </c>
      <c r="D912" s="6" t="s">
        <v>2281</v>
      </c>
      <c r="E912" s="6" t="s">
        <v>2399</v>
      </c>
      <c r="F912" s="6" t="s">
        <v>2463</v>
      </c>
      <c r="G912" s="6" t="s">
        <v>16</v>
      </c>
      <c r="H912" s="5">
        <v>2</v>
      </c>
      <c r="I912" s="6" t="s">
        <v>2464</v>
      </c>
      <c r="J912" s="5">
        <v>596</v>
      </c>
    </row>
    <row r="913" s="2" customFormat="1" spans="1:10">
      <c r="A913" s="6">
        <f>911</f>
        <v>911</v>
      </c>
      <c r="B913" s="6" t="s">
        <v>2465</v>
      </c>
      <c r="C913" s="6" t="s">
        <v>12</v>
      </c>
      <c r="D913" s="6" t="s">
        <v>2281</v>
      </c>
      <c r="E913" s="6" t="s">
        <v>2399</v>
      </c>
      <c r="F913" s="6" t="s">
        <v>2466</v>
      </c>
      <c r="G913" s="6" t="s">
        <v>16</v>
      </c>
      <c r="H913" s="5">
        <v>3</v>
      </c>
      <c r="I913" s="6" t="s">
        <v>2467</v>
      </c>
      <c r="J913" s="5">
        <v>584</v>
      </c>
    </row>
    <row r="914" s="2" customFormat="1" spans="1:10">
      <c r="A914" s="6">
        <f>912</f>
        <v>912</v>
      </c>
      <c r="B914" s="6" t="s">
        <v>2468</v>
      </c>
      <c r="C914" s="6" t="s">
        <v>12</v>
      </c>
      <c r="D914" s="6" t="s">
        <v>2281</v>
      </c>
      <c r="E914" s="6" t="s">
        <v>2399</v>
      </c>
      <c r="F914" s="6" t="s">
        <v>2469</v>
      </c>
      <c r="G914" s="6" t="s">
        <v>16</v>
      </c>
      <c r="H914" s="5">
        <v>1</v>
      </c>
      <c r="I914" s="6" t="s">
        <v>2469</v>
      </c>
      <c r="J914" s="5">
        <v>228</v>
      </c>
    </row>
    <row r="915" s="2" customFormat="1" spans="1:10">
      <c r="A915" s="6">
        <f>913</f>
        <v>913</v>
      </c>
      <c r="B915" s="6" t="s">
        <v>2470</v>
      </c>
      <c r="C915" s="6" t="s">
        <v>12</v>
      </c>
      <c r="D915" s="6" t="s">
        <v>2281</v>
      </c>
      <c r="E915" s="6" t="s">
        <v>2399</v>
      </c>
      <c r="F915" s="6" t="s">
        <v>2471</v>
      </c>
      <c r="G915" s="6" t="s">
        <v>16</v>
      </c>
      <c r="H915" s="5">
        <v>2</v>
      </c>
      <c r="I915" s="6" t="s">
        <v>2472</v>
      </c>
      <c r="J915" s="5">
        <v>476</v>
      </c>
    </row>
    <row r="916" s="2" customFormat="1" spans="1:10">
      <c r="A916" s="6">
        <f>914</f>
        <v>914</v>
      </c>
      <c r="B916" s="6" t="s">
        <v>2473</v>
      </c>
      <c r="C916" s="6" t="s">
        <v>12</v>
      </c>
      <c r="D916" s="6" t="s">
        <v>2281</v>
      </c>
      <c r="E916" s="6" t="s">
        <v>2399</v>
      </c>
      <c r="F916" s="6" t="s">
        <v>2474</v>
      </c>
      <c r="G916" s="6" t="s">
        <v>16</v>
      </c>
      <c r="H916" s="5">
        <v>1</v>
      </c>
      <c r="I916" s="6" t="s">
        <v>2474</v>
      </c>
      <c r="J916" s="5">
        <v>208</v>
      </c>
    </row>
    <row r="917" s="2" customFormat="1" spans="1:10">
      <c r="A917" s="6">
        <f>915</f>
        <v>915</v>
      </c>
      <c r="B917" s="6" t="s">
        <v>2475</v>
      </c>
      <c r="C917" s="6" t="s">
        <v>12</v>
      </c>
      <c r="D917" s="6" t="s">
        <v>2281</v>
      </c>
      <c r="E917" s="6" t="s">
        <v>2399</v>
      </c>
      <c r="F917" s="6" t="s">
        <v>2476</v>
      </c>
      <c r="G917" s="6" t="s">
        <v>16</v>
      </c>
      <c r="H917" s="5">
        <v>1</v>
      </c>
      <c r="I917" s="6" t="s">
        <v>2476</v>
      </c>
      <c r="J917" s="5">
        <v>228</v>
      </c>
    </row>
    <row r="918" s="2" customFormat="1" ht="27" spans="1:10">
      <c r="A918" s="6">
        <f>916</f>
        <v>916</v>
      </c>
      <c r="B918" s="6" t="s">
        <v>2477</v>
      </c>
      <c r="C918" s="6" t="s">
        <v>12</v>
      </c>
      <c r="D918" s="6" t="s">
        <v>2281</v>
      </c>
      <c r="E918" s="6" t="s">
        <v>2399</v>
      </c>
      <c r="F918" s="6" t="s">
        <v>2478</v>
      </c>
      <c r="G918" s="6" t="s">
        <v>16</v>
      </c>
      <c r="H918" s="5">
        <v>5</v>
      </c>
      <c r="I918" s="6" t="s">
        <v>2479</v>
      </c>
      <c r="J918" s="5">
        <v>743</v>
      </c>
    </row>
    <row r="919" s="2" customFormat="1" ht="27" spans="1:10">
      <c r="A919" s="6">
        <f>917</f>
        <v>917</v>
      </c>
      <c r="B919" s="6" t="s">
        <v>2480</v>
      </c>
      <c r="C919" s="6" t="s">
        <v>12</v>
      </c>
      <c r="D919" s="6" t="s">
        <v>2281</v>
      </c>
      <c r="E919" s="6" t="s">
        <v>2399</v>
      </c>
      <c r="F919" s="6" t="s">
        <v>2481</v>
      </c>
      <c r="G919" s="6" t="s">
        <v>16</v>
      </c>
      <c r="H919" s="5">
        <v>4</v>
      </c>
      <c r="I919" s="6" t="s">
        <v>2482</v>
      </c>
      <c r="J919" s="5">
        <v>470</v>
      </c>
    </row>
    <row r="920" s="2" customFormat="1" spans="1:10">
      <c r="A920" s="6">
        <f>918</f>
        <v>918</v>
      </c>
      <c r="B920" s="6" t="s">
        <v>2483</v>
      </c>
      <c r="C920" s="6" t="s">
        <v>12</v>
      </c>
      <c r="D920" s="6" t="s">
        <v>2281</v>
      </c>
      <c r="E920" s="6" t="s">
        <v>2399</v>
      </c>
      <c r="F920" s="6" t="s">
        <v>2484</v>
      </c>
      <c r="G920" s="6" t="s">
        <v>16</v>
      </c>
      <c r="H920" s="5">
        <v>1</v>
      </c>
      <c r="I920" s="6" t="s">
        <v>2484</v>
      </c>
      <c r="J920" s="5">
        <v>255</v>
      </c>
    </row>
    <row r="921" s="2" customFormat="1" ht="40.5" spans="1:10">
      <c r="A921" s="6">
        <f>919</f>
        <v>919</v>
      </c>
      <c r="B921" s="6" t="s">
        <v>2485</v>
      </c>
      <c r="C921" s="6" t="s">
        <v>12</v>
      </c>
      <c r="D921" s="6" t="s">
        <v>2281</v>
      </c>
      <c r="E921" s="6" t="s">
        <v>2399</v>
      </c>
      <c r="F921" s="6" t="s">
        <v>2486</v>
      </c>
      <c r="G921" s="6" t="s">
        <v>16</v>
      </c>
      <c r="H921" s="5">
        <v>7</v>
      </c>
      <c r="I921" s="6" t="s">
        <v>2487</v>
      </c>
      <c r="J921" s="5">
        <v>980</v>
      </c>
    </row>
    <row r="922" s="2" customFormat="1" spans="1:10">
      <c r="A922" s="6">
        <f>920</f>
        <v>920</v>
      </c>
      <c r="B922" s="6" t="s">
        <v>2488</v>
      </c>
      <c r="C922" s="6" t="s">
        <v>12</v>
      </c>
      <c r="D922" s="6" t="s">
        <v>2281</v>
      </c>
      <c r="E922" s="6" t="s">
        <v>2399</v>
      </c>
      <c r="F922" s="6" t="s">
        <v>2489</v>
      </c>
      <c r="G922" s="6" t="s">
        <v>16</v>
      </c>
      <c r="H922" s="5">
        <v>2</v>
      </c>
      <c r="I922" s="6" t="s">
        <v>2490</v>
      </c>
      <c r="J922" s="5">
        <v>496</v>
      </c>
    </row>
    <row r="923" s="2" customFormat="1" ht="27" spans="1:10">
      <c r="A923" s="6">
        <f>921</f>
        <v>921</v>
      </c>
      <c r="B923" s="6" t="s">
        <v>2491</v>
      </c>
      <c r="C923" s="6" t="s">
        <v>12</v>
      </c>
      <c r="D923" s="6" t="s">
        <v>2281</v>
      </c>
      <c r="E923" s="6" t="s">
        <v>2399</v>
      </c>
      <c r="F923" s="6" t="s">
        <v>2492</v>
      </c>
      <c r="G923" s="6" t="s">
        <v>16</v>
      </c>
      <c r="H923" s="5">
        <v>5</v>
      </c>
      <c r="I923" s="6" t="s">
        <v>2493</v>
      </c>
      <c r="J923" s="5">
        <v>520</v>
      </c>
    </row>
    <row r="924" s="2" customFormat="1" spans="1:10">
      <c r="A924" s="6">
        <f>922</f>
        <v>922</v>
      </c>
      <c r="B924" s="6" t="s">
        <v>2494</v>
      </c>
      <c r="C924" s="6" t="s">
        <v>12</v>
      </c>
      <c r="D924" s="6" t="s">
        <v>2281</v>
      </c>
      <c r="E924" s="6" t="s">
        <v>2399</v>
      </c>
      <c r="F924" s="6" t="s">
        <v>2495</v>
      </c>
      <c r="G924" s="6" t="s">
        <v>16</v>
      </c>
      <c r="H924" s="5">
        <v>3</v>
      </c>
      <c r="I924" s="6" t="s">
        <v>2496</v>
      </c>
      <c r="J924" s="5">
        <v>500</v>
      </c>
    </row>
    <row r="925" s="2" customFormat="1" spans="1:10">
      <c r="A925" s="6">
        <f>923</f>
        <v>923</v>
      </c>
      <c r="B925" s="6" t="s">
        <v>2497</v>
      </c>
      <c r="C925" s="6" t="s">
        <v>12</v>
      </c>
      <c r="D925" s="6" t="s">
        <v>2281</v>
      </c>
      <c r="E925" s="6" t="s">
        <v>2399</v>
      </c>
      <c r="F925" s="6" t="s">
        <v>2498</v>
      </c>
      <c r="G925" s="6" t="s">
        <v>16</v>
      </c>
      <c r="H925" s="5">
        <v>1</v>
      </c>
      <c r="I925" s="6" t="s">
        <v>2498</v>
      </c>
      <c r="J925" s="5">
        <v>238</v>
      </c>
    </row>
    <row r="926" s="2" customFormat="1" spans="1:10">
      <c r="A926" s="6">
        <f>924</f>
        <v>924</v>
      </c>
      <c r="B926" s="6" t="s">
        <v>2499</v>
      </c>
      <c r="C926" s="6" t="s">
        <v>12</v>
      </c>
      <c r="D926" s="6" t="s">
        <v>2281</v>
      </c>
      <c r="E926" s="6" t="s">
        <v>2399</v>
      </c>
      <c r="F926" s="6" t="s">
        <v>2500</v>
      </c>
      <c r="G926" s="6" t="s">
        <v>16</v>
      </c>
      <c r="H926" s="5">
        <v>3</v>
      </c>
      <c r="I926" s="6" t="s">
        <v>2501</v>
      </c>
      <c r="J926" s="5">
        <v>596</v>
      </c>
    </row>
    <row r="927" s="2" customFormat="1" ht="40.5" spans="1:10">
      <c r="A927" s="6">
        <f>925</f>
        <v>925</v>
      </c>
      <c r="B927" s="6" t="s">
        <v>2502</v>
      </c>
      <c r="C927" s="6" t="s">
        <v>12</v>
      </c>
      <c r="D927" s="6" t="s">
        <v>2281</v>
      </c>
      <c r="E927" s="6" t="s">
        <v>2399</v>
      </c>
      <c r="F927" s="6" t="s">
        <v>2503</v>
      </c>
      <c r="G927" s="6" t="s">
        <v>16</v>
      </c>
      <c r="H927" s="5">
        <v>8</v>
      </c>
      <c r="I927" s="6" t="s">
        <v>2504</v>
      </c>
      <c r="J927" s="5">
        <v>856</v>
      </c>
    </row>
    <row r="928" s="2" customFormat="1" spans="1:10">
      <c r="A928" s="6">
        <f>926</f>
        <v>926</v>
      </c>
      <c r="B928" s="6" t="s">
        <v>2505</v>
      </c>
      <c r="C928" s="6" t="s">
        <v>12</v>
      </c>
      <c r="D928" s="6" t="s">
        <v>2281</v>
      </c>
      <c r="E928" s="6" t="s">
        <v>2399</v>
      </c>
      <c r="F928" s="6" t="s">
        <v>2506</v>
      </c>
      <c r="G928" s="6" t="s">
        <v>16</v>
      </c>
      <c r="H928" s="5">
        <v>2</v>
      </c>
      <c r="I928" s="6" t="s">
        <v>2507</v>
      </c>
      <c r="J928" s="5">
        <v>584</v>
      </c>
    </row>
    <row r="929" s="2" customFormat="1" ht="27" spans="1:10">
      <c r="A929" s="6">
        <f>927</f>
        <v>927</v>
      </c>
      <c r="B929" s="6" t="s">
        <v>2508</v>
      </c>
      <c r="C929" s="6" t="s">
        <v>12</v>
      </c>
      <c r="D929" s="6" t="s">
        <v>2281</v>
      </c>
      <c r="E929" s="6" t="s">
        <v>2399</v>
      </c>
      <c r="F929" s="6" t="s">
        <v>2509</v>
      </c>
      <c r="G929" s="6" t="s">
        <v>16</v>
      </c>
      <c r="H929" s="5">
        <v>5</v>
      </c>
      <c r="I929" s="6" t="s">
        <v>2510</v>
      </c>
      <c r="J929" s="5">
        <v>900</v>
      </c>
    </row>
    <row r="930" s="2" customFormat="1" spans="1:10">
      <c r="A930" s="6">
        <f>928</f>
        <v>928</v>
      </c>
      <c r="B930" s="6" t="s">
        <v>2511</v>
      </c>
      <c r="C930" s="6" t="s">
        <v>12</v>
      </c>
      <c r="D930" s="6" t="s">
        <v>2281</v>
      </c>
      <c r="E930" s="6" t="s">
        <v>2399</v>
      </c>
      <c r="F930" s="6" t="s">
        <v>2512</v>
      </c>
      <c r="G930" s="6" t="s">
        <v>16</v>
      </c>
      <c r="H930" s="5">
        <v>1</v>
      </c>
      <c r="I930" s="6" t="s">
        <v>2512</v>
      </c>
      <c r="J930" s="5">
        <v>230</v>
      </c>
    </row>
    <row r="931" s="2" customFormat="1" spans="1:10">
      <c r="A931" s="6">
        <f>929</f>
        <v>929</v>
      </c>
      <c r="B931" s="6" t="s">
        <v>2513</v>
      </c>
      <c r="C931" s="6" t="s">
        <v>12</v>
      </c>
      <c r="D931" s="6" t="s">
        <v>2281</v>
      </c>
      <c r="E931" s="6" t="s">
        <v>2399</v>
      </c>
      <c r="F931" s="6" t="s">
        <v>2514</v>
      </c>
      <c r="G931" s="6" t="s">
        <v>16</v>
      </c>
      <c r="H931" s="5">
        <v>1</v>
      </c>
      <c r="I931" s="6" t="s">
        <v>2514</v>
      </c>
      <c r="J931" s="5">
        <v>580</v>
      </c>
    </row>
    <row r="932" s="2" customFormat="1" spans="1:10">
      <c r="A932" s="6">
        <f>930</f>
        <v>930</v>
      </c>
      <c r="B932" s="6" t="s">
        <v>2515</v>
      </c>
      <c r="C932" s="6" t="s">
        <v>12</v>
      </c>
      <c r="D932" s="6" t="s">
        <v>2281</v>
      </c>
      <c r="E932" s="6" t="s">
        <v>2399</v>
      </c>
      <c r="F932" s="6" t="s">
        <v>2516</v>
      </c>
      <c r="G932" s="6" t="s">
        <v>16</v>
      </c>
      <c r="H932" s="5">
        <v>3</v>
      </c>
      <c r="I932" s="6" t="s">
        <v>2517</v>
      </c>
      <c r="J932" s="5">
        <v>380</v>
      </c>
    </row>
    <row r="933" s="2" customFormat="1" spans="1:10">
      <c r="A933" s="6">
        <f>931</f>
        <v>931</v>
      </c>
      <c r="B933" s="6" t="s">
        <v>2518</v>
      </c>
      <c r="C933" s="6" t="s">
        <v>12</v>
      </c>
      <c r="D933" s="6" t="s">
        <v>2281</v>
      </c>
      <c r="E933" s="6" t="s">
        <v>2399</v>
      </c>
      <c r="F933" s="6" t="s">
        <v>2519</v>
      </c>
      <c r="G933" s="6" t="s">
        <v>16</v>
      </c>
      <c r="H933" s="5">
        <v>1</v>
      </c>
      <c r="I933" s="6" t="s">
        <v>2519</v>
      </c>
      <c r="J933" s="5">
        <v>396</v>
      </c>
    </row>
    <row r="934" s="2" customFormat="1" spans="1:10">
      <c r="A934" s="6">
        <f>932</f>
        <v>932</v>
      </c>
      <c r="B934" s="6" t="s">
        <v>2520</v>
      </c>
      <c r="C934" s="6" t="s">
        <v>12</v>
      </c>
      <c r="D934" s="6" t="s">
        <v>2281</v>
      </c>
      <c r="E934" s="6" t="s">
        <v>2399</v>
      </c>
      <c r="F934" s="6" t="s">
        <v>2521</v>
      </c>
      <c r="G934" s="6" t="s">
        <v>16</v>
      </c>
      <c r="H934" s="5">
        <v>1</v>
      </c>
      <c r="I934" s="6" t="s">
        <v>2521</v>
      </c>
      <c r="J934" s="5">
        <v>258</v>
      </c>
    </row>
    <row r="935" s="2" customFormat="1" ht="27" spans="1:10">
      <c r="A935" s="6">
        <f>933</f>
        <v>933</v>
      </c>
      <c r="B935" s="6" t="s">
        <v>2522</v>
      </c>
      <c r="C935" s="6" t="s">
        <v>12</v>
      </c>
      <c r="D935" s="6" t="s">
        <v>2281</v>
      </c>
      <c r="E935" s="6" t="s">
        <v>2399</v>
      </c>
      <c r="F935" s="6" t="s">
        <v>2523</v>
      </c>
      <c r="G935" s="6" t="s">
        <v>16</v>
      </c>
      <c r="H935" s="5">
        <v>5</v>
      </c>
      <c r="I935" s="6" t="s">
        <v>2524</v>
      </c>
      <c r="J935" s="5">
        <v>750</v>
      </c>
    </row>
    <row r="936" s="2" customFormat="1" spans="1:10">
      <c r="A936" s="6">
        <f>934</f>
        <v>934</v>
      </c>
      <c r="B936" s="6" t="s">
        <v>2525</v>
      </c>
      <c r="C936" s="6" t="s">
        <v>12</v>
      </c>
      <c r="D936" s="6" t="s">
        <v>2281</v>
      </c>
      <c r="E936" s="6" t="s">
        <v>2399</v>
      </c>
      <c r="F936" s="6" t="s">
        <v>2526</v>
      </c>
      <c r="G936" s="6" t="s">
        <v>16</v>
      </c>
      <c r="H936" s="5">
        <v>1</v>
      </c>
      <c r="I936" s="6" t="s">
        <v>2526</v>
      </c>
      <c r="J936" s="5">
        <v>238</v>
      </c>
    </row>
    <row r="937" s="2" customFormat="1" ht="27" spans="1:10">
      <c r="A937" s="6">
        <f>935</f>
        <v>935</v>
      </c>
      <c r="B937" s="6" t="s">
        <v>2527</v>
      </c>
      <c r="C937" s="6" t="s">
        <v>12</v>
      </c>
      <c r="D937" s="6" t="s">
        <v>2281</v>
      </c>
      <c r="E937" s="6" t="s">
        <v>2399</v>
      </c>
      <c r="F937" s="6" t="s">
        <v>2528</v>
      </c>
      <c r="G937" s="6" t="s">
        <v>16</v>
      </c>
      <c r="H937" s="5">
        <v>4</v>
      </c>
      <c r="I937" s="6" t="s">
        <v>2529</v>
      </c>
      <c r="J937" s="5">
        <v>610</v>
      </c>
    </row>
    <row r="938" s="2" customFormat="1" spans="1:10">
      <c r="A938" s="6">
        <f>936</f>
        <v>936</v>
      </c>
      <c r="B938" s="6" t="s">
        <v>2530</v>
      </c>
      <c r="C938" s="6" t="s">
        <v>12</v>
      </c>
      <c r="D938" s="6" t="s">
        <v>2281</v>
      </c>
      <c r="E938" s="6" t="s">
        <v>2399</v>
      </c>
      <c r="F938" s="6" t="s">
        <v>2531</v>
      </c>
      <c r="G938" s="6" t="s">
        <v>16</v>
      </c>
      <c r="H938" s="5">
        <v>1</v>
      </c>
      <c r="I938" s="6" t="s">
        <v>2531</v>
      </c>
      <c r="J938" s="5">
        <v>275</v>
      </c>
    </row>
    <row r="939" s="2" customFormat="1" spans="1:10">
      <c r="A939" s="6">
        <f>937</f>
        <v>937</v>
      </c>
      <c r="B939" s="6" t="s">
        <v>2532</v>
      </c>
      <c r="C939" s="6" t="s">
        <v>12</v>
      </c>
      <c r="D939" s="6" t="s">
        <v>2281</v>
      </c>
      <c r="E939" s="6" t="s">
        <v>2399</v>
      </c>
      <c r="F939" s="6" t="s">
        <v>2533</v>
      </c>
      <c r="G939" s="6" t="s">
        <v>16</v>
      </c>
      <c r="H939" s="5">
        <v>1</v>
      </c>
      <c r="I939" s="6" t="s">
        <v>2533</v>
      </c>
      <c r="J939" s="5">
        <v>280</v>
      </c>
    </row>
    <row r="940" s="2" customFormat="1" spans="1:10">
      <c r="A940" s="6">
        <f>938</f>
        <v>938</v>
      </c>
      <c r="B940" s="6" t="s">
        <v>2534</v>
      </c>
      <c r="C940" s="6" t="s">
        <v>12</v>
      </c>
      <c r="D940" s="6" t="s">
        <v>2281</v>
      </c>
      <c r="E940" s="6" t="s">
        <v>2399</v>
      </c>
      <c r="F940" s="6" t="s">
        <v>2535</v>
      </c>
      <c r="G940" s="6" t="s">
        <v>16</v>
      </c>
      <c r="H940" s="5">
        <v>2</v>
      </c>
      <c r="I940" s="6" t="s">
        <v>2536</v>
      </c>
      <c r="J940" s="5">
        <v>660</v>
      </c>
    </row>
    <row r="941" s="2" customFormat="1" spans="1:10">
      <c r="A941" s="6">
        <f>939</f>
        <v>939</v>
      </c>
      <c r="B941" s="6" t="s">
        <v>2537</v>
      </c>
      <c r="C941" s="6" t="s">
        <v>12</v>
      </c>
      <c r="D941" s="6" t="s">
        <v>2281</v>
      </c>
      <c r="E941" s="6" t="s">
        <v>2538</v>
      </c>
      <c r="F941" s="6" t="s">
        <v>2539</v>
      </c>
      <c r="G941" s="6" t="s">
        <v>16</v>
      </c>
      <c r="H941" s="5">
        <v>3</v>
      </c>
      <c r="I941" s="6" t="s">
        <v>2540</v>
      </c>
      <c r="J941" s="5">
        <v>500</v>
      </c>
    </row>
    <row r="942" s="2" customFormat="1" spans="1:10">
      <c r="A942" s="6">
        <f>940</f>
        <v>940</v>
      </c>
      <c r="B942" s="6" t="s">
        <v>2541</v>
      </c>
      <c r="C942" s="6" t="s">
        <v>12</v>
      </c>
      <c r="D942" s="6" t="s">
        <v>2281</v>
      </c>
      <c r="E942" s="6" t="s">
        <v>2538</v>
      </c>
      <c r="F942" s="6" t="s">
        <v>2542</v>
      </c>
      <c r="G942" s="6" t="s">
        <v>16</v>
      </c>
      <c r="H942" s="5">
        <v>2</v>
      </c>
      <c r="I942" s="6" t="s">
        <v>2543</v>
      </c>
      <c r="J942" s="5">
        <v>580</v>
      </c>
    </row>
    <row r="943" s="2" customFormat="1" spans="1:10">
      <c r="A943" s="6">
        <f>941</f>
        <v>941</v>
      </c>
      <c r="B943" s="6" t="s">
        <v>2544</v>
      </c>
      <c r="C943" s="6" t="s">
        <v>12</v>
      </c>
      <c r="D943" s="6" t="s">
        <v>2281</v>
      </c>
      <c r="E943" s="6" t="s">
        <v>2538</v>
      </c>
      <c r="F943" s="6" t="s">
        <v>2545</v>
      </c>
      <c r="G943" s="6" t="s">
        <v>16</v>
      </c>
      <c r="H943" s="5">
        <v>1</v>
      </c>
      <c r="I943" s="6" t="s">
        <v>2545</v>
      </c>
      <c r="J943" s="5">
        <v>620</v>
      </c>
    </row>
    <row r="944" s="2" customFormat="1" spans="1:10">
      <c r="A944" s="6">
        <f>942</f>
        <v>942</v>
      </c>
      <c r="B944" s="6" t="s">
        <v>2546</v>
      </c>
      <c r="C944" s="6" t="s">
        <v>12</v>
      </c>
      <c r="D944" s="6" t="s">
        <v>2281</v>
      </c>
      <c r="E944" s="6" t="s">
        <v>2538</v>
      </c>
      <c r="F944" s="6" t="s">
        <v>2547</v>
      </c>
      <c r="G944" s="6" t="s">
        <v>16</v>
      </c>
      <c r="H944" s="5">
        <v>3</v>
      </c>
      <c r="I944" s="6" t="s">
        <v>2548</v>
      </c>
      <c r="J944" s="5">
        <v>580</v>
      </c>
    </row>
    <row r="945" s="2" customFormat="1" spans="1:10">
      <c r="A945" s="6">
        <f>943</f>
        <v>943</v>
      </c>
      <c r="B945" s="6" t="s">
        <v>2549</v>
      </c>
      <c r="C945" s="6" t="s">
        <v>12</v>
      </c>
      <c r="D945" s="6" t="s">
        <v>2281</v>
      </c>
      <c r="E945" s="6" t="s">
        <v>2538</v>
      </c>
      <c r="F945" s="6" t="s">
        <v>2550</v>
      </c>
      <c r="G945" s="6" t="s">
        <v>16</v>
      </c>
      <c r="H945" s="5">
        <v>2</v>
      </c>
      <c r="I945" s="6" t="s">
        <v>2551</v>
      </c>
      <c r="J945" s="5">
        <v>1240</v>
      </c>
    </row>
    <row r="946" s="2" customFormat="1" spans="1:10">
      <c r="A946" s="6">
        <f>944</f>
        <v>944</v>
      </c>
      <c r="B946" s="6" t="s">
        <v>2552</v>
      </c>
      <c r="C946" s="6" t="s">
        <v>12</v>
      </c>
      <c r="D946" s="6" t="s">
        <v>2281</v>
      </c>
      <c r="E946" s="6" t="s">
        <v>2538</v>
      </c>
      <c r="F946" s="6" t="s">
        <v>2553</v>
      </c>
      <c r="G946" s="6" t="s">
        <v>16</v>
      </c>
      <c r="H946" s="5">
        <v>1</v>
      </c>
      <c r="I946" s="6" t="s">
        <v>2553</v>
      </c>
      <c r="J946" s="5">
        <v>440</v>
      </c>
    </row>
    <row r="947" s="2" customFormat="1" spans="1:10">
      <c r="A947" s="6">
        <f>945</f>
        <v>945</v>
      </c>
      <c r="B947" s="6" t="s">
        <v>2554</v>
      </c>
      <c r="C947" s="6" t="s">
        <v>12</v>
      </c>
      <c r="D947" s="6" t="s">
        <v>2281</v>
      </c>
      <c r="E947" s="6" t="s">
        <v>2538</v>
      </c>
      <c r="F947" s="6" t="s">
        <v>2555</v>
      </c>
      <c r="G947" s="6" t="s">
        <v>16</v>
      </c>
      <c r="H947" s="5">
        <v>1</v>
      </c>
      <c r="I947" s="6" t="s">
        <v>2555</v>
      </c>
      <c r="J947" s="5">
        <v>440</v>
      </c>
    </row>
    <row r="948" s="2" customFormat="1" ht="27" spans="1:10">
      <c r="A948" s="6">
        <f>946</f>
        <v>946</v>
      </c>
      <c r="B948" s="6" t="s">
        <v>2556</v>
      </c>
      <c r="C948" s="6" t="s">
        <v>12</v>
      </c>
      <c r="D948" s="6" t="s">
        <v>2281</v>
      </c>
      <c r="E948" s="6" t="s">
        <v>2538</v>
      </c>
      <c r="F948" s="6" t="s">
        <v>2557</v>
      </c>
      <c r="G948" s="6" t="s">
        <v>16</v>
      </c>
      <c r="H948" s="5">
        <v>6</v>
      </c>
      <c r="I948" s="6" t="s">
        <v>2558</v>
      </c>
      <c r="J948" s="5">
        <v>860</v>
      </c>
    </row>
    <row r="949" s="2" customFormat="1" ht="27" spans="1:10">
      <c r="A949" s="6">
        <f>947</f>
        <v>947</v>
      </c>
      <c r="B949" s="6" t="s">
        <v>2559</v>
      </c>
      <c r="C949" s="6" t="s">
        <v>12</v>
      </c>
      <c r="D949" s="6" t="s">
        <v>2281</v>
      </c>
      <c r="E949" s="6" t="s">
        <v>2538</v>
      </c>
      <c r="F949" s="6" t="s">
        <v>2560</v>
      </c>
      <c r="G949" s="6" t="s">
        <v>16</v>
      </c>
      <c r="H949" s="5">
        <v>6</v>
      </c>
      <c r="I949" s="6" t="s">
        <v>2561</v>
      </c>
      <c r="J949" s="5">
        <v>1560</v>
      </c>
    </row>
    <row r="950" s="2" customFormat="1" spans="1:10">
      <c r="A950" s="6">
        <f>948</f>
        <v>948</v>
      </c>
      <c r="B950" s="6" t="s">
        <v>2562</v>
      </c>
      <c r="C950" s="6" t="s">
        <v>12</v>
      </c>
      <c r="D950" s="6" t="s">
        <v>2281</v>
      </c>
      <c r="E950" s="6" t="s">
        <v>2538</v>
      </c>
      <c r="F950" s="6" t="s">
        <v>2563</v>
      </c>
      <c r="G950" s="6" t="s">
        <v>16</v>
      </c>
      <c r="H950" s="5">
        <v>1</v>
      </c>
      <c r="I950" s="6" t="s">
        <v>2563</v>
      </c>
      <c r="J950" s="5">
        <v>620</v>
      </c>
    </row>
    <row r="951" s="2" customFormat="1" ht="27" spans="1:10">
      <c r="A951" s="6">
        <f>949</f>
        <v>949</v>
      </c>
      <c r="B951" s="6" t="s">
        <v>2564</v>
      </c>
      <c r="C951" s="6" t="s">
        <v>12</v>
      </c>
      <c r="D951" s="6" t="s">
        <v>2281</v>
      </c>
      <c r="E951" s="6" t="s">
        <v>2538</v>
      </c>
      <c r="F951" s="6" t="s">
        <v>2565</v>
      </c>
      <c r="G951" s="6" t="s">
        <v>16</v>
      </c>
      <c r="H951" s="5">
        <v>5</v>
      </c>
      <c r="I951" s="6" t="s">
        <v>2566</v>
      </c>
      <c r="J951" s="5">
        <v>1400</v>
      </c>
    </row>
    <row r="952" s="2" customFormat="1" spans="1:10">
      <c r="A952" s="6">
        <f>950</f>
        <v>950</v>
      </c>
      <c r="B952" s="6" t="s">
        <v>2567</v>
      </c>
      <c r="C952" s="6" t="s">
        <v>12</v>
      </c>
      <c r="D952" s="6" t="s">
        <v>2281</v>
      </c>
      <c r="E952" s="6" t="s">
        <v>2538</v>
      </c>
      <c r="F952" s="6" t="s">
        <v>2568</v>
      </c>
      <c r="G952" s="6" t="s">
        <v>16</v>
      </c>
      <c r="H952" s="5">
        <v>2</v>
      </c>
      <c r="I952" s="6" t="s">
        <v>2569</v>
      </c>
      <c r="J952" s="5">
        <v>588</v>
      </c>
    </row>
    <row r="953" s="2" customFormat="1" spans="1:10">
      <c r="A953" s="6">
        <f>951</f>
        <v>951</v>
      </c>
      <c r="B953" s="6" t="s">
        <v>2570</v>
      </c>
      <c r="C953" s="6" t="s">
        <v>12</v>
      </c>
      <c r="D953" s="6" t="s">
        <v>2281</v>
      </c>
      <c r="E953" s="6" t="s">
        <v>2538</v>
      </c>
      <c r="F953" s="6" t="s">
        <v>2571</v>
      </c>
      <c r="G953" s="6" t="s">
        <v>16</v>
      </c>
      <c r="H953" s="5">
        <v>2</v>
      </c>
      <c r="I953" s="6" t="s">
        <v>2572</v>
      </c>
      <c r="J953" s="5">
        <v>520</v>
      </c>
    </row>
    <row r="954" s="2" customFormat="1" spans="1:10">
      <c r="A954" s="6">
        <f>952</f>
        <v>952</v>
      </c>
      <c r="B954" s="6" t="s">
        <v>2573</v>
      </c>
      <c r="C954" s="6" t="s">
        <v>12</v>
      </c>
      <c r="D954" s="6" t="s">
        <v>2281</v>
      </c>
      <c r="E954" s="6" t="s">
        <v>2538</v>
      </c>
      <c r="F954" s="6" t="s">
        <v>2574</v>
      </c>
      <c r="G954" s="6" t="s">
        <v>16</v>
      </c>
      <c r="H954" s="5">
        <v>2</v>
      </c>
      <c r="I954" s="6" t="s">
        <v>2575</v>
      </c>
      <c r="J954" s="5">
        <v>514</v>
      </c>
    </row>
    <row r="955" s="2" customFormat="1" spans="1:10">
      <c r="A955" s="6">
        <f>953</f>
        <v>953</v>
      </c>
      <c r="B955" s="6" t="s">
        <v>2576</v>
      </c>
      <c r="C955" s="6" t="s">
        <v>12</v>
      </c>
      <c r="D955" s="6" t="s">
        <v>2281</v>
      </c>
      <c r="E955" s="6" t="s">
        <v>2538</v>
      </c>
      <c r="F955" s="6" t="s">
        <v>2577</v>
      </c>
      <c r="G955" s="6" t="s">
        <v>16</v>
      </c>
      <c r="H955" s="5">
        <v>3</v>
      </c>
      <c r="I955" s="6" t="s">
        <v>2578</v>
      </c>
      <c r="J955" s="5">
        <v>1082</v>
      </c>
    </row>
    <row r="956" s="2" customFormat="1" spans="1:10">
      <c r="A956" s="6">
        <f>954</f>
        <v>954</v>
      </c>
      <c r="B956" s="6" t="s">
        <v>2579</v>
      </c>
      <c r="C956" s="6" t="s">
        <v>12</v>
      </c>
      <c r="D956" s="6" t="s">
        <v>2281</v>
      </c>
      <c r="E956" s="6" t="s">
        <v>2538</v>
      </c>
      <c r="F956" s="6" t="s">
        <v>2580</v>
      </c>
      <c r="G956" s="6" t="s">
        <v>16</v>
      </c>
      <c r="H956" s="5">
        <v>1</v>
      </c>
      <c r="I956" s="6" t="s">
        <v>2580</v>
      </c>
      <c r="J956" s="5">
        <v>410</v>
      </c>
    </row>
    <row r="957" s="2" customFormat="1" spans="1:10">
      <c r="A957" s="6">
        <f>955</f>
        <v>955</v>
      </c>
      <c r="B957" s="6" t="s">
        <v>2581</v>
      </c>
      <c r="C957" s="6" t="s">
        <v>12</v>
      </c>
      <c r="D957" s="6" t="s">
        <v>2281</v>
      </c>
      <c r="E957" s="6" t="s">
        <v>2538</v>
      </c>
      <c r="F957" s="6" t="s">
        <v>2582</v>
      </c>
      <c r="G957" s="6" t="s">
        <v>16</v>
      </c>
      <c r="H957" s="5">
        <v>1</v>
      </c>
      <c r="I957" s="6" t="s">
        <v>2582</v>
      </c>
      <c r="J957" s="5">
        <v>355</v>
      </c>
    </row>
    <row r="958" s="2" customFormat="1" spans="1:10">
      <c r="A958" s="6">
        <f>956</f>
        <v>956</v>
      </c>
      <c r="B958" s="6" t="s">
        <v>2583</v>
      </c>
      <c r="C958" s="6" t="s">
        <v>12</v>
      </c>
      <c r="D958" s="6" t="s">
        <v>2281</v>
      </c>
      <c r="E958" s="6" t="s">
        <v>2538</v>
      </c>
      <c r="F958" s="6" t="s">
        <v>2584</v>
      </c>
      <c r="G958" s="6" t="s">
        <v>16</v>
      </c>
      <c r="H958" s="5">
        <v>1</v>
      </c>
      <c r="I958" s="6" t="s">
        <v>2584</v>
      </c>
      <c r="J958" s="5">
        <v>620</v>
      </c>
    </row>
    <row r="959" s="2" customFormat="1" spans="1:10">
      <c r="A959" s="6">
        <f>957</f>
        <v>957</v>
      </c>
      <c r="B959" s="6" t="s">
        <v>2585</v>
      </c>
      <c r="C959" s="6" t="s">
        <v>12</v>
      </c>
      <c r="D959" s="6" t="s">
        <v>2281</v>
      </c>
      <c r="E959" s="6" t="s">
        <v>2538</v>
      </c>
      <c r="F959" s="6" t="s">
        <v>2586</v>
      </c>
      <c r="G959" s="6" t="s">
        <v>16</v>
      </c>
      <c r="H959" s="5">
        <v>1</v>
      </c>
      <c r="I959" s="6" t="s">
        <v>2586</v>
      </c>
      <c r="J959" s="5">
        <v>228</v>
      </c>
    </row>
    <row r="960" s="2" customFormat="1" spans="1:10">
      <c r="A960" s="6">
        <f>958</f>
        <v>958</v>
      </c>
      <c r="B960" s="6" t="s">
        <v>2587</v>
      </c>
      <c r="C960" s="6" t="s">
        <v>12</v>
      </c>
      <c r="D960" s="6" t="s">
        <v>2281</v>
      </c>
      <c r="E960" s="6" t="s">
        <v>2538</v>
      </c>
      <c r="F960" s="6" t="s">
        <v>2588</v>
      </c>
      <c r="G960" s="6" t="s">
        <v>16</v>
      </c>
      <c r="H960" s="5">
        <v>2</v>
      </c>
      <c r="I960" s="6" t="s">
        <v>2589</v>
      </c>
      <c r="J960" s="5">
        <v>600</v>
      </c>
    </row>
    <row r="961" s="2" customFormat="1" spans="1:10">
      <c r="A961" s="6">
        <f>959</f>
        <v>959</v>
      </c>
      <c r="B961" s="6" t="s">
        <v>2590</v>
      </c>
      <c r="C961" s="6" t="s">
        <v>12</v>
      </c>
      <c r="D961" s="6" t="s">
        <v>2281</v>
      </c>
      <c r="E961" s="6" t="s">
        <v>2538</v>
      </c>
      <c r="F961" s="6" t="s">
        <v>2591</v>
      </c>
      <c r="G961" s="6" t="s">
        <v>16</v>
      </c>
      <c r="H961" s="5">
        <v>3</v>
      </c>
      <c r="I961" s="6" t="s">
        <v>2592</v>
      </c>
      <c r="J961" s="5">
        <v>1090</v>
      </c>
    </row>
    <row r="962" s="2" customFormat="1" spans="1:10">
      <c r="A962" s="6">
        <f>960</f>
        <v>960</v>
      </c>
      <c r="B962" s="6" t="s">
        <v>2593</v>
      </c>
      <c r="C962" s="6" t="s">
        <v>12</v>
      </c>
      <c r="D962" s="6" t="s">
        <v>2281</v>
      </c>
      <c r="E962" s="6" t="s">
        <v>2538</v>
      </c>
      <c r="F962" s="6" t="s">
        <v>2594</v>
      </c>
      <c r="G962" s="6" t="s">
        <v>16</v>
      </c>
      <c r="H962" s="5">
        <v>2</v>
      </c>
      <c r="I962" s="6" t="s">
        <v>2595</v>
      </c>
      <c r="J962" s="5">
        <v>530</v>
      </c>
    </row>
    <row r="963" s="2" customFormat="1" spans="1:10">
      <c r="A963" s="6">
        <f>961</f>
        <v>961</v>
      </c>
      <c r="B963" s="6" t="s">
        <v>2596</v>
      </c>
      <c r="C963" s="6" t="s">
        <v>12</v>
      </c>
      <c r="D963" s="6" t="s">
        <v>2281</v>
      </c>
      <c r="E963" s="6" t="s">
        <v>2538</v>
      </c>
      <c r="F963" s="6" t="s">
        <v>2597</v>
      </c>
      <c r="G963" s="6" t="s">
        <v>16</v>
      </c>
      <c r="H963" s="5">
        <v>1</v>
      </c>
      <c r="I963" s="6" t="s">
        <v>2597</v>
      </c>
      <c r="J963" s="5">
        <v>265</v>
      </c>
    </row>
    <row r="964" s="2" customFormat="1" spans="1:10">
      <c r="A964" s="6">
        <f>962</f>
        <v>962</v>
      </c>
      <c r="B964" s="6" t="s">
        <v>2598</v>
      </c>
      <c r="C964" s="6" t="s">
        <v>12</v>
      </c>
      <c r="D964" s="6" t="s">
        <v>2281</v>
      </c>
      <c r="E964" s="6" t="s">
        <v>2538</v>
      </c>
      <c r="F964" s="6" t="s">
        <v>2599</v>
      </c>
      <c r="G964" s="6" t="s">
        <v>16</v>
      </c>
      <c r="H964" s="5">
        <v>1</v>
      </c>
      <c r="I964" s="6" t="s">
        <v>2599</v>
      </c>
      <c r="J964" s="5">
        <v>258</v>
      </c>
    </row>
    <row r="965" s="2" customFormat="1" spans="1:10">
      <c r="A965" s="6">
        <f>963</f>
        <v>963</v>
      </c>
      <c r="B965" s="6" t="s">
        <v>2600</v>
      </c>
      <c r="C965" s="6" t="s">
        <v>12</v>
      </c>
      <c r="D965" s="6" t="s">
        <v>2281</v>
      </c>
      <c r="E965" s="6" t="s">
        <v>2538</v>
      </c>
      <c r="F965" s="6" t="s">
        <v>2601</v>
      </c>
      <c r="G965" s="6" t="s">
        <v>16</v>
      </c>
      <c r="H965" s="5">
        <v>3</v>
      </c>
      <c r="I965" s="6" t="s">
        <v>2602</v>
      </c>
      <c r="J965" s="5">
        <v>1130</v>
      </c>
    </row>
    <row r="966" s="2" customFormat="1" ht="27" spans="1:10">
      <c r="A966" s="6">
        <f>964</f>
        <v>964</v>
      </c>
      <c r="B966" s="6" t="s">
        <v>2603</v>
      </c>
      <c r="C966" s="6" t="s">
        <v>12</v>
      </c>
      <c r="D966" s="6" t="s">
        <v>2281</v>
      </c>
      <c r="E966" s="6" t="s">
        <v>2538</v>
      </c>
      <c r="F966" s="6" t="s">
        <v>2604</v>
      </c>
      <c r="G966" s="6" t="s">
        <v>16</v>
      </c>
      <c r="H966" s="5">
        <v>5</v>
      </c>
      <c r="I966" s="6" t="s">
        <v>2605</v>
      </c>
      <c r="J966" s="5">
        <v>493</v>
      </c>
    </row>
    <row r="967" s="2" customFormat="1" spans="1:10">
      <c r="A967" s="6">
        <f>965</f>
        <v>965</v>
      </c>
      <c r="B967" s="6" t="s">
        <v>2606</v>
      </c>
      <c r="C967" s="6" t="s">
        <v>12</v>
      </c>
      <c r="D967" s="6" t="s">
        <v>2281</v>
      </c>
      <c r="E967" s="6" t="s">
        <v>2538</v>
      </c>
      <c r="F967" s="6" t="s">
        <v>2607</v>
      </c>
      <c r="G967" s="6" t="s">
        <v>16</v>
      </c>
      <c r="H967" s="5">
        <v>3</v>
      </c>
      <c r="I967" s="6" t="s">
        <v>2608</v>
      </c>
      <c r="J967" s="5">
        <v>435</v>
      </c>
    </row>
    <row r="968" s="2" customFormat="1" ht="27" spans="1:10">
      <c r="A968" s="6">
        <f>966</f>
        <v>966</v>
      </c>
      <c r="B968" s="6" t="s">
        <v>2609</v>
      </c>
      <c r="C968" s="6" t="s">
        <v>12</v>
      </c>
      <c r="D968" s="6" t="s">
        <v>2281</v>
      </c>
      <c r="E968" s="6" t="s">
        <v>2538</v>
      </c>
      <c r="F968" s="6" t="s">
        <v>2610</v>
      </c>
      <c r="G968" s="6" t="s">
        <v>16</v>
      </c>
      <c r="H968" s="5">
        <v>6</v>
      </c>
      <c r="I968" s="6" t="s">
        <v>2611</v>
      </c>
      <c r="J968" s="5">
        <v>2600</v>
      </c>
    </row>
    <row r="969" s="2" customFormat="1" ht="40.5" spans="1:10">
      <c r="A969" s="6">
        <f>967</f>
        <v>967</v>
      </c>
      <c r="B969" s="6" t="s">
        <v>2612</v>
      </c>
      <c r="C969" s="6" t="s">
        <v>12</v>
      </c>
      <c r="D969" s="6" t="s">
        <v>2281</v>
      </c>
      <c r="E969" s="6" t="s">
        <v>2538</v>
      </c>
      <c r="F969" s="6" t="s">
        <v>2613</v>
      </c>
      <c r="G969" s="6" t="s">
        <v>16</v>
      </c>
      <c r="H969" s="5">
        <v>8</v>
      </c>
      <c r="I969" s="6" t="s">
        <v>2614</v>
      </c>
      <c r="J969" s="5">
        <v>1436</v>
      </c>
    </row>
    <row r="970" s="2" customFormat="1" spans="1:10">
      <c r="A970" s="6">
        <f>968</f>
        <v>968</v>
      </c>
      <c r="B970" s="6" t="s">
        <v>2615</v>
      </c>
      <c r="C970" s="6" t="s">
        <v>12</v>
      </c>
      <c r="D970" s="6" t="s">
        <v>2281</v>
      </c>
      <c r="E970" s="6" t="s">
        <v>2538</v>
      </c>
      <c r="F970" s="6" t="s">
        <v>2616</v>
      </c>
      <c r="G970" s="6" t="s">
        <v>16</v>
      </c>
      <c r="H970" s="5">
        <v>3</v>
      </c>
      <c r="I970" s="6" t="s">
        <v>2617</v>
      </c>
      <c r="J970" s="5">
        <v>980</v>
      </c>
    </row>
    <row r="971" s="2" customFormat="1" spans="1:10">
      <c r="A971" s="6">
        <f>969</f>
        <v>969</v>
      </c>
      <c r="B971" s="6" t="s">
        <v>2618</v>
      </c>
      <c r="C971" s="6" t="s">
        <v>12</v>
      </c>
      <c r="D971" s="6" t="s">
        <v>2281</v>
      </c>
      <c r="E971" s="6" t="s">
        <v>2538</v>
      </c>
      <c r="F971" s="6" t="s">
        <v>2619</v>
      </c>
      <c r="G971" s="6" t="s">
        <v>16</v>
      </c>
      <c r="H971" s="5">
        <v>3</v>
      </c>
      <c r="I971" s="6" t="s">
        <v>2620</v>
      </c>
      <c r="J971" s="5">
        <v>634</v>
      </c>
    </row>
    <row r="972" s="2" customFormat="1" spans="1:10">
      <c r="A972" s="6">
        <f>970</f>
        <v>970</v>
      </c>
      <c r="B972" s="6" t="s">
        <v>2621</v>
      </c>
      <c r="C972" s="6" t="s">
        <v>12</v>
      </c>
      <c r="D972" s="6" t="s">
        <v>2281</v>
      </c>
      <c r="E972" s="6" t="s">
        <v>2538</v>
      </c>
      <c r="F972" s="6" t="s">
        <v>2622</v>
      </c>
      <c r="G972" s="6" t="s">
        <v>16</v>
      </c>
      <c r="H972" s="5">
        <v>2</v>
      </c>
      <c r="I972" s="6" t="s">
        <v>2623</v>
      </c>
      <c r="J972" s="5">
        <v>466</v>
      </c>
    </row>
    <row r="973" s="2" customFormat="1" ht="27" spans="1:10">
      <c r="A973" s="6">
        <f>971</f>
        <v>971</v>
      </c>
      <c r="B973" s="6" t="s">
        <v>2624</v>
      </c>
      <c r="C973" s="6" t="s">
        <v>12</v>
      </c>
      <c r="D973" s="6" t="s">
        <v>2281</v>
      </c>
      <c r="E973" s="6" t="s">
        <v>2538</v>
      </c>
      <c r="F973" s="6" t="s">
        <v>2625</v>
      </c>
      <c r="G973" s="6" t="s">
        <v>16</v>
      </c>
      <c r="H973" s="5">
        <v>4</v>
      </c>
      <c r="I973" s="6" t="s">
        <v>2626</v>
      </c>
      <c r="J973" s="5">
        <v>1420</v>
      </c>
    </row>
    <row r="974" s="2" customFormat="1" spans="1:10">
      <c r="A974" s="6">
        <f>972</f>
        <v>972</v>
      </c>
      <c r="B974" s="6" t="s">
        <v>2627</v>
      </c>
      <c r="C974" s="6" t="s">
        <v>12</v>
      </c>
      <c r="D974" s="6" t="s">
        <v>2281</v>
      </c>
      <c r="E974" s="6" t="s">
        <v>2538</v>
      </c>
      <c r="F974" s="6" t="s">
        <v>2628</v>
      </c>
      <c r="G974" s="6" t="s">
        <v>16</v>
      </c>
      <c r="H974" s="5">
        <v>1</v>
      </c>
      <c r="I974" s="6" t="s">
        <v>2628</v>
      </c>
      <c r="J974" s="5">
        <v>218</v>
      </c>
    </row>
    <row r="975" s="2" customFormat="1" spans="1:10">
      <c r="A975" s="6">
        <f>973</f>
        <v>973</v>
      </c>
      <c r="B975" s="6" t="s">
        <v>2629</v>
      </c>
      <c r="C975" s="6" t="s">
        <v>12</v>
      </c>
      <c r="D975" s="6" t="s">
        <v>2281</v>
      </c>
      <c r="E975" s="6" t="s">
        <v>2538</v>
      </c>
      <c r="F975" s="6" t="s">
        <v>2630</v>
      </c>
      <c r="G975" s="6" t="s">
        <v>16</v>
      </c>
      <c r="H975" s="5">
        <v>1</v>
      </c>
      <c r="I975" s="6" t="s">
        <v>2630</v>
      </c>
      <c r="J975" s="5">
        <v>460</v>
      </c>
    </row>
    <row r="976" s="2" customFormat="1" spans="1:10">
      <c r="A976" s="6">
        <f>974</f>
        <v>974</v>
      </c>
      <c r="B976" s="6" t="s">
        <v>2631</v>
      </c>
      <c r="C976" s="6" t="s">
        <v>12</v>
      </c>
      <c r="D976" s="6" t="s">
        <v>2281</v>
      </c>
      <c r="E976" s="6" t="s">
        <v>2538</v>
      </c>
      <c r="F976" s="6" t="s">
        <v>2632</v>
      </c>
      <c r="G976" s="6" t="s">
        <v>16</v>
      </c>
      <c r="H976" s="5">
        <v>2</v>
      </c>
      <c r="I976" s="6" t="s">
        <v>2633</v>
      </c>
      <c r="J976" s="5">
        <v>526</v>
      </c>
    </row>
    <row r="977" s="2" customFormat="1" spans="1:10">
      <c r="A977" s="6">
        <f>975</f>
        <v>975</v>
      </c>
      <c r="B977" s="6" t="s">
        <v>2634</v>
      </c>
      <c r="C977" s="6" t="s">
        <v>12</v>
      </c>
      <c r="D977" s="6" t="s">
        <v>2281</v>
      </c>
      <c r="E977" s="6" t="s">
        <v>2538</v>
      </c>
      <c r="F977" s="6" t="s">
        <v>2635</v>
      </c>
      <c r="G977" s="6" t="s">
        <v>16</v>
      </c>
      <c r="H977" s="5">
        <v>3</v>
      </c>
      <c r="I977" s="6" t="s">
        <v>2636</v>
      </c>
      <c r="J977" s="5">
        <v>515</v>
      </c>
    </row>
    <row r="978" s="2" customFormat="1" ht="27" spans="1:10">
      <c r="A978" s="6">
        <f>976</f>
        <v>976</v>
      </c>
      <c r="B978" s="6" t="s">
        <v>2637</v>
      </c>
      <c r="C978" s="6" t="s">
        <v>12</v>
      </c>
      <c r="D978" s="6" t="s">
        <v>2281</v>
      </c>
      <c r="E978" s="6" t="s">
        <v>2538</v>
      </c>
      <c r="F978" s="6" t="s">
        <v>2638</v>
      </c>
      <c r="G978" s="6" t="s">
        <v>16</v>
      </c>
      <c r="H978" s="5">
        <v>5</v>
      </c>
      <c r="I978" s="6" t="s">
        <v>2639</v>
      </c>
      <c r="J978" s="5">
        <v>990</v>
      </c>
    </row>
    <row r="979" s="2" customFormat="1" ht="40.5" spans="1:10">
      <c r="A979" s="6">
        <f>977</f>
        <v>977</v>
      </c>
      <c r="B979" s="6" t="s">
        <v>2640</v>
      </c>
      <c r="C979" s="6" t="s">
        <v>12</v>
      </c>
      <c r="D979" s="6" t="s">
        <v>2281</v>
      </c>
      <c r="E979" s="6" t="s">
        <v>2538</v>
      </c>
      <c r="F979" s="6" t="s">
        <v>2641</v>
      </c>
      <c r="G979" s="6" t="s">
        <v>16</v>
      </c>
      <c r="H979" s="5">
        <v>7</v>
      </c>
      <c r="I979" s="6" t="s">
        <v>2642</v>
      </c>
      <c r="J979" s="5">
        <v>1380</v>
      </c>
    </row>
    <row r="980" s="2" customFormat="1" spans="1:10">
      <c r="A980" s="6">
        <f>978</f>
        <v>978</v>
      </c>
      <c r="B980" s="6" t="s">
        <v>2643</v>
      </c>
      <c r="C980" s="6" t="s">
        <v>12</v>
      </c>
      <c r="D980" s="6" t="s">
        <v>2281</v>
      </c>
      <c r="E980" s="6" t="s">
        <v>2538</v>
      </c>
      <c r="F980" s="6" t="s">
        <v>2644</v>
      </c>
      <c r="G980" s="6" t="s">
        <v>16</v>
      </c>
      <c r="H980" s="5">
        <v>2</v>
      </c>
      <c r="I980" s="6" t="s">
        <v>2645</v>
      </c>
      <c r="J980" s="5">
        <v>400</v>
      </c>
    </row>
    <row r="981" s="2" customFormat="1" spans="1:10">
      <c r="A981" s="6">
        <f>979</f>
        <v>979</v>
      </c>
      <c r="B981" s="6" t="s">
        <v>2646</v>
      </c>
      <c r="C981" s="6" t="s">
        <v>12</v>
      </c>
      <c r="D981" s="6" t="s">
        <v>2281</v>
      </c>
      <c r="E981" s="6" t="s">
        <v>2538</v>
      </c>
      <c r="F981" s="6" t="s">
        <v>2647</v>
      </c>
      <c r="G981" s="6" t="s">
        <v>16</v>
      </c>
      <c r="H981" s="5">
        <v>2</v>
      </c>
      <c r="I981" s="6" t="s">
        <v>2648</v>
      </c>
      <c r="J981" s="5">
        <v>360</v>
      </c>
    </row>
    <row r="982" s="2" customFormat="1" spans="1:10">
      <c r="A982" s="6">
        <f>980</f>
        <v>980</v>
      </c>
      <c r="B982" s="6" t="s">
        <v>2649</v>
      </c>
      <c r="C982" s="6" t="s">
        <v>12</v>
      </c>
      <c r="D982" s="6" t="s">
        <v>2281</v>
      </c>
      <c r="E982" s="6" t="s">
        <v>2538</v>
      </c>
      <c r="F982" s="6" t="s">
        <v>2650</v>
      </c>
      <c r="G982" s="6" t="s">
        <v>16</v>
      </c>
      <c r="H982" s="5">
        <v>2</v>
      </c>
      <c r="I982" s="6" t="s">
        <v>2651</v>
      </c>
      <c r="J982" s="5">
        <v>396</v>
      </c>
    </row>
    <row r="983" s="2" customFormat="1" ht="27" spans="1:10">
      <c r="A983" s="6">
        <f>981</f>
        <v>981</v>
      </c>
      <c r="B983" s="6" t="s">
        <v>2652</v>
      </c>
      <c r="C983" s="6" t="s">
        <v>12</v>
      </c>
      <c r="D983" s="6" t="s">
        <v>2281</v>
      </c>
      <c r="E983" s="6" t="s">
        <v>2538</v>
      </c>
      <c r="F983" s="6" t="s">
        <v>2653</v>
      </c>
      <c r="G983" s="6" t="s">
        <v>16</v>
      </c>
      <c r="H983" s="5">
        <v>6</v>
      </c>
      <c r="I983" s="6" t="s">
        <v>2654</v>
      </c>
      <c r="J983" s="5">
        <v>750</v>
      </c>
    </row>
    <row r="984" s="2" customFormat="1" ht="27" spans="1:10">
      <c r="A984" s="6">
        <f>982</f>
        <v>982</v>
      </c>
      <c r="B984" s="6" t="s">
        <v>2655</v>
      </c>
      <c r="C984" s="6" t="s">
        <v>12</v>
      </c>
      <c r="D984" s="6" t="s">
        <v>2281</v>
      </c>
      <c r="E984" s="6" t="s">
        <v>2538</v>
      </c>
      <c r="F984" s="6" t="s">
        <v>2656</v>
      </c>
      <c r="G984" s="6" t="s">
        <v>16</v>
      </c>
      <c r="H984" s="5">
        <v>6</v>
      </c>
      <c r="I984" s="6" t="s">
        <v>2657</v>
      </c>
      <c r="J984" s="5">
        <v>577</v>
      </c>
    </row>
    <row r="985" s="2" customFormat="1" ht="27" spans="1:10">
      <c r="A985" s="6">
        <f>983</f>
        <v>983</v>
      </c>
      <c r="B985" s="6" t="s">
        <v>2658</v>
      </c>
      <c r="C985" s="6" t="s">
        <v>12</v>
      </c>
      <c r="D985" s="6" t="s">
        <v>2281</v>
      </c>
      <c r="E985" s="6" t="s">
        <v>2538</v>
      </c>
      <c r="F985" s="6" t="s">
        <v>2659</v>
      </c>
      <c r="G985" s="6" t="s">
        <v>16</v>
      </c>
      <c r="H985" s="5">
        <v>4</v>
      </c>
      <c r="I985" s="6" t="s">
        <v>2660</v>
      </c>
      <c r="J985" s="5">
        <v>640</v>
      </c>
    </row>
    <row r="986" s="2" customFormat="1" spans="1:10">
      <c r="A986" s="6">
        <f>984</f>
        <v>984</v>
      </c>
      <c r="B986" s="6" t="s">
        <v>2661</v>
      </c>
      <c r="C986" s="6" t="s">
        <v>12</v>
      </c>
      <c r="D986" s="6" t="s">
        <v>2281</v>
      </c>
      <c r="E986" s="6" t="s">
        <v>2538</v>
      </c>
      <c r="F986" s="6" t="s">
        <v>2662</v>
      </c>
      <c r="G986" s="6" t="s">
        <v>16</v>
      </c>
      <c r="H986" s="5">
        <v>2</v>
      </c>
      <c r="I986" s="6" t="s">
        <v>2663</v>
      </c>
      <c r="J986" s="5">
        <v>430</v>
      </c>
    </row>
    <row r="987" s="2" customFormat="1" spans="1:10">
      <c r="A987" s="6">
        <f>985</f>
        <v>985</v>
      </c>
      <c r="B987" s="6" t="s">
        <v>2664</v>
      </c>
      <c r="C987" s="6" t="s">
        <v>12</v>
      </c>
      <c r="D987" s="6" t="s">
        <v>2281</v>
      </c>
      <c r="E987" s="6" t="s">
        <v>2538</v>
      </c>
      <c r="F987" s="6" t="s">
        <v>2665</v>
      </c>
      <c r="G987" s="6" t="s">
        <v>16</v>
      </c>
      <c r="H987" s="5">
        <v>1</v>
      </c>
      <c r="I987" s="6" t="s">
        <v>2665</v>
      </c>
      <c r="J987" s="5">
        <v>210</v>
      </c>
    </row>
    <row r="988" s="2" customFormat="1" spans="1:10">
      <c r="A988" s="6">
        <f>986</f>
        <v>986</v>
      </c>
      <c r="B988" s="6" t="s">
        <v>2666</v>
      </c>
      <c r="C988" s="6" t="s">
        <v>12</v>
      </c>
      <c r="D988" s="6" t="s">
        <v>2281</v>
      </c>
      <c r="E988" s="6" t="s">
        <v>2538</v>
      </c>
      <c r="F988" s="6" t="s">
        <v>2667</v>
      </c>
      <c r="G988" s="6" t="s">
        <v>16</v>
      </c>
      <c r="H988" s="5">
        <v>1</v>
      </c>
      <c r="I988" s="6" t="s">
        <v>2667</v>
      </c>
      <c r="J988" s="5">
        <v>210</v>
      </c>
    </row>
    <row r="989" s="2" customFormat="1" spans="1:10">
      <c r="A989" s="6">
        <f>987</f>
        <v>987</v>
      </c>
      <c r="B989" s="6" t="s">
        <v>2668</v>
      </c>
      <c r="C989" s="6" t="s">
        <v>12</v>
      </c>
      <c r="D989" s="6" t="s">
        <v>2281</v>
      </c>
      <c r="E989" s="6" t="s">
        <v>2538</v>
      </c>
      <c r="F989" s="6" t="s">
        <v>2669</v>
      </c>
      <c r="G989" s="6" t="s">
        <v>16</v>
      </c>
      <c r="H989" s="5">
        <v>2</v>
      </c>
      <c r="I989" s="6" t="s">
        <v>2670</v>
      </c>
      <c r="J989" s="5">
        <v>480</v>
      </c>
    </row>
    <row r="990" s="2" customFormat="1" spans="1:10">
      <c r="A990" s="6">
        <f>988</f>
        <v>988</v>
      </c>
      <c r="B990" s="6" t="s">
        <v>2671</v>
      </c>
      <c r="C990" s="6" t="s">
        <v>12</v>
      </c>
      <c r="D990" s="6" t="s">
        <v>2281</v>
      </c>
      <c r="E990" s="6" t="s">
        <v>2538</v>
      </c>
      <c r="F990" s="6" t="s">
        <v>2672</v>
      </c>
      <c r="G990" s="6" t="s">
        <v>16</v>
      </c>
      <c r="H990" s="5">
        <v>1</v>
      </c>
      <c r="I990" s="6" t="s">
        <v>2672</v>
      </c>
      <c r="J990" s="5">
        <v>280</v>
      </c>
    </row>
    <row r="991" s="2" customFormat="1" spans="1:10">
      <c r="A991" s="6">
        <f>989</f>
        <v>989</v>
      </c>
      <c r="B991" s="6" t="s">
        <v>2673</v>
      </c>
      <c r="C991" s="6" t="s">
        <v>12</v>
      </c>
      <c r="D991" s="6" t="s">
        <v>2281</v>
      </c>
      <c r="E991" s="6" t="s">
        <v>2538</v>
      </c>
      <c r="F991" s="6" t="s">
        <v>2622</v>
      </c>
      <c r="G991" s="6" t="s">
        <v>16</v>
      </c>
      <c r="H991" s="5">
        <v>3</v>
      </c>
      <c r="I991" s="6" t="s">
        <v>2674</v>
      </c>
      <c r="J991" s="5">
        <v>860</v>
      </c>
    </row>
    <row r="992" s="2" customFormat="1" spans="1:10">
      <c r="A992" s="6">
        <f>990</f>
        <v>990</v>
      </c>
      <c r="B992" s="6" t="s">
        <v>2675</v>
      </c>
      <c r="C992" s="6" t="s">
        <v>12</v>
      </c>
      <c r="D992" s="6" t="s">
        <v>2281</v>
      </c>
      <c r="E992" s="6" t="s">
        <v>2538</v>
      </c>
      <c r="F992" s="6" t="s">
        <v>2676</v>
      </c>
      <c r="G992" s="6" t="s">
        <v>16</v>
      </c>
      <c r="H992" s="5">
        <v>3</v>
      </c>
      <c r="I992" s="6" t="s">
        <v>2677</v>
      </c>
      <c r="J992" s="5">
        <v>530</v>
      </c>
    </row>
    <row r="993" s="2" customFormat="1" spans="1:10">
      <c r="A993" s="6">
        <f>991</f>
        <v>991</v>
      </c>
      <c r="B993" s="6" t="s">
        <v>2678</v>
      </c>
      <c r="C993" s="6" t="s">
        <v>12</v>
      </c>
      <c r="D993" s="6" t="s">
        <v>2281</v>
      </c>
      <c r="E993" s="6" t="s">
        <v>2538</v>
      </c>
      <c r="F993" s="6" t="s">
        <v>2679</v>
      </c>
      <c r="G993" s="6" t="s">
        <v>16</v>
      </c>
      <c r="H993" s="5">
        <v>3</v>
      </c>
      <c r="I993" s="6" t="s">
        <v>2680</v>
      </c>
      <c r="J993" s="5">
        <v>850</v>
      </c>
    </row>
    <row r="994" s="2" customFormat="1" spans="1:10">
      <c r="A994" s="6">
        <f>992</f>
        <v>992</v>
      </c>
      <c r="B994" s="6" t="s">
        <v>2681</v>
      </c>
      <c r="C994" s="6" t="s">
        <v>12</v>
      </c>
      <c r="D994" s="6" t="s">
        <v>2281</v>
      </c>
      <c r="E994" s="6" t="s">
        <v>2538</v>
      </c>
      <c r="F994" s="6" t="s">
        <v>2682</v>
      </c>
      <c r="G994" s="6" t="s">
        <v>16</v>
      </c>
      <c r="H994" s="5">
        <v>1</v>
      </c>
      <c r="I994" s="6" t="s">
        <v>2682</v>
      </c>
      <c r="J994" s="5">
        <v>620</v>
      </c>
    </row>
    <row r="995" s="2" customFormat="1" ht="27" spans="1:10">
      <c r="A995" s="6">
        <f>993</f>
        <v>993</v>
      </c>
      <c r="B995" s="6" t="s">
        <v>2683</v>
      </c>
      <c r="C995" s="6" t="s">
        <v>12</v>
      </c>
      <c r="D995" s="6" t="s">
        <v>2281</v>
      </c>
      <c r="E995" s="6" t="s">
        <v>2684</v>
      </c>
      <c r="F995" s="6" t="s">
        <v>2685</v>
      </c>
      <c r="G995" s="6" t="s">
        <v>16</v>
      </c>
      <c r="H995" s="5">
        <v>6</v>
      </c>
      <c r="I995" s="6" t="s">
        <v>2686</v>
      </c>
      <c r="J995" s="5">
        <v>1200</v>
      </c>
    </row>
    <row r="996" s="2" customFormat="1" spans="1:10">
      <c r="A996" s="6">
        <f>994</f>
        <v>994</v>
      </c>
      <c r="B996" s="6" t="s">
        <v>2687</v>
      </c>
      <c r="C996" s="6" t="s">
        <v>12</v>
      </c>
      <c r="D996" s="6" t="s">
        <v>2281</v>
      </c>
      <c r="E996" s="6" t="s">
        <v>2684</v>
      </c>
      <c r="F996" s="6" t="s">
        <v>2688</v>
      </c>
      <c r="G996" s="6" t="s">
        <v>16</v>
      </c>
      <c r="H996" s="5">
        <v>2</v>
      </c>
      <c r="I996" s="6" t="s">
        <v>2689</v>
      </c>
      <c r="J996" s="5">
        <v>360</v>
      </c>
    </row>
    <row r="997" s="2" customFormat="1" spans="1:10">
      <c r="A997" s="6">
        <f>995</f>
        <v>995</v>
      </c>
      <c r="B997" s="6" t="s">
        <v>2690</v>
      </c>
      <c r="C997" s="6" t="s">
        <v>12</v>
      </c>
      <c r="D997" s="6" t="s">
        <v>2281</v>
      </c>
      <c r="E997" s="6" t="s">
        <v>2684</v>
      </c>
      <c r="F997" s="6" t="s">
        <v>2691</v>
      </c>
      <c r="G997" s="6" t="s">
        <v>16</v>
      </c>
      <c r="H997" s="5">
        <v>3</v>
      </c>
      <c r="I997" s="6" t="s">
        <v>2692</v>
      </c>
      <c r="J997" s="5">
        <v>480</v>
      </c>
    </row>
    <row r="998" s="2" customFormat="1" spans="1:10">
      <c r="A998" s="6">
        <f>996</f>
        <v>996</v>
      </c>
      <c r="B998" s="6" t="s">
        <v>2693</v>
      </c>
      <c r="C998" s="6" t="s">
        <v>12</v>
      </c>
      <c r="D998" s="6" t="s">
        <v>2281</v>
      </c>
      <c r="E998" s="6" t="s">
        <v>2684</v>
      </c>
      <c r="F998" s="6" t="s">
        <v>2694</v>
      </c>
      <c r="G998" s="6" t="s">
        <v>16</v>
      </c>
      <c r="H998" s="5">
        <v>2</v>
      </c>
      <c r="I998" s="6" t="s">
        <v>2695</v>
      </c>
      <c r="J998" s="5">
        <v>380</v>
      </c>
    </row>
    <row r="999" s="2" customFormat="1" ht="27" spans="1:10">
      <c r="A999" s="6">
        <f>997</f>
        <v>997</v>
      </c>
      <c r="B999" s="6" t="s">
        <v>2696</v>
      </c>
      <c r="C999" s="6" t="s">
        <v>12</v>
      </c>
      <c r="D999" s="6" t="s">
        <v>2281</v>
      </c>
      <c r="E999" s="6" t="s">
        <v>2684</v>
      </c>
      <c r="F999" s="6" t="s">
        <v>2697</v>
      </c>
      <c r="G999" s="6" t="s">
        <v>16</v>
      </c>
      <c r="H999" s="5">
        <v>4</v>
      </c>
      <c r="I999" s="6" t="s">
        <v>2698</v>
      </c>
      <c r="J999" s="5">
        <v>2040</v>
      </c>
    </row>
    <row r="1000" s="2" customFormat="1" spans="1:10">
      <c r="A1000" s="6">
        <f>998</f>
        <v>998</v>
      </c>
      <c r="B1000" s="6" t="s">
        <v>2699</v>
      </c>
      <c r="C1000" s="6" t="s">
        <v>12</v>
      </c>
      <c r="D1000" s="6" t="s">
        <v>2281</v>
      </c>
      <c r="E1000" s="6" t="s">
        <v>2684</v>
      </c>
      <c r="F1000" s="6" t="s">
        <v>2700</v>
      </c>
      <c r="G1000" s="6" t="s">
        <v>16</v>
      </c>
      <c r="H1000" s="5">
        <v>3</v>
      </c>
      <c r="I1000" s="6" t="s">
        <v>2701</v>
      </c>
      <c r="J1000" s="5">
        <v>550</v>
      </c>
    </row>
    <row r="1001" s="2" customFormat="1" ht="27" spans="1:10">
      <c r="A1001" s="6">
        <f>999</f>
        <v>999</v>
      </c>
      <c r="B1001" s="6" t="s">
        <v>2702</v>
      </c>
      <c r="C1001" s="6" t="s">
        <v>12</v>
      </c>
      <c r="D1001" s="6" t="s">
        <v>2281</v>
      </c>
      <c r="E1001" s="6" t="s">
        <v>2684</v>
      </c>
      <c r="F1001" s="6" t="s">
        <v>2703</v>
      </c>
      <c r="G1001" s="6" t="s">
        <v>16</v>
      </c>
      <c r="H1001" s="5">
        <v>4</v>
      </c>
      <c r="I1001" s="6" t="s">
        <v>2704</v>
      </c>
      <c r="J1001" s="5">
        <v>1160</v>
      </c>
    </row>
    <row r="1002" s="2" customFormat="1" ht="27" spans="1:10">
      <c r="A1002" s="6">
        <f>1000</f>
        <v>1000</v>
      </c>
      <c r="B1002" s="6" t="s">
        <v>2705</v>
      </c>
      <c r="C1002" s="6" t="s">
        <v>12</v>
      </c>
      <c r="D1002" s="6" t="s">
        <v>2281</v>
      </c>
      <c r="E1002" s="6" t="s">
        <v>2684</v>
      </c>
      <c r="F1002" s="6" t="s">
        <v>2706</v>
      </c>
      <c r="G1002" s="6" t="s">
        <v>16</v>
      </c>
      <c r="H1002" s="5">
        <v>4</v>
      </c>
      <c r="I1002" s="6" t="s">
        <v>2707</v>
      </c>
      <c r="J1002" s="5">
        <v>640</v>
      </c>
    </row>
    <row r="1003" s="2" customFormat="1" spans="1:10">
      <c r="A1003" s="6">
        <f>1001</f>
        <v>1001</v>
      </c>
      <c r="B1003" s="6" t="s">
        <v>2708</v>
      </c>
      <c r="C1003" s="6" t="s">
        <v>12</v>
      </c>
      <c r="D1003" s="6" t="s">
        <v>2281</v>
      </c>
      <c r="E1003" s="6" t="s">
        <v>2684</v>
      </c>
      <c r="F1003" s="6" t="s">
        <v>2709</v>
      </c>
      <c r="G1003" s="6" t="s">
        <v>16</v>
      </c>
      <c r="H1003" s="5">
        <v>1</v>
      </c>
      <c r="I1003" s="6" t="s">
        <v>2709</v>
      </c>
      <c r="J1003" s="5">
        <v>620</v>
      </c>
    </row>
    <row r="1004" s="2" customFormat="1" spans="1:10">
      <c r="A1004" s="6">
        <f>1002</f>
        <v>1002</v>
      </c>
      <c r="B1004" s="6" t="s">
        <v>2710</v>
      </c>
      <c r="C1004" s="6" t="s">
        <v>12</v>
      </c>
      <c r="D1004" s="6" t="s">
        <v>2281</v>
      </c>
      <c r="E1004" s="6" t="s">
        <v>2684</v>
      </c>
      <c r="F1004" s="6" t="s">
        <v>2711</v>
      </c>
      <c r="G1004" s="6" t="s">
        <v>16</v>
      </c>
      <c r="H1004" s="5">
        <v>2</v>
      </c>
      <c r="I1004" s="6" t="s">
        <v>2712</v>
      </c>
      <c r="J1004" s="5">
        <v>320</v>
      </c>
    </row>
    <row r="1005" s="2" customFormat="1" spans="1:10">
      <c r="A1005" s="6">
        <f>1003</f>
        <v>1003</v>
      </c>
      <c r="B1005" s="6" t="s">
        <v>2713</v>
      </c>
      <c r="C1005" s="6" t="s">
        <v>12</v>
      </c>
      <c r="D1005" s="6" t="s">
        <v>2281</v>
      </c>
      <c r="E1005" s="6" t="s">
        <v>2684</v>
      </c>
      <c r="F1005" s="6" t="s">
        <v>2714</v>
      </c>
      <c r="G1005" s="6" t="s">
        <v>16</v>
      </c>
      <c r="H1005" s="5">
        <v>2</v>
      </c>
      <c r="I1005" s="6" t="s">
        <v>2715</v>
      </c>
      <c r="J1005" s="5">
        <v>360</v>
      </c>
    </row>
    <row r="1006" s="2" customFormat="1" ht="27" spans="1:10">
      <c r="A1006" s="6">
        <f>1004</f>
        <v>1004</v>
      </c>
      <c r="B1006" s="6" t="s">
        <v>2716</v>
      </c>
      <c r="C1006" s="6" t="s">
        <v>12</v>
      </c>
      <c r="D1006" s="6" t="s">
        <v>2281</v>
      </c>
      <c r="E1006" s="6" t="s">
        <v>2684</v>
      </c>
      <c r="F1006" s="6" t="s">
        <v>2717</v>
      </c>
      <c r="G1006" s="6" t="s">
        <v>16</v>
      </c>
      <c r="H1006" s="5">
        <v>4</v>
      </c>
      <c r="I1006" s="6" t="s">
        <v>2718</v>
      </c>
      <c r="J1006" s="5">
        <v>1760</v>
      </c>
    </row>
    <row r="1007" s="2" customFormat="1" spans="1:10">
      <c r="A1007" s="6">
        <f>1005</f>
        <v>1005</v>
      </c>
      <c r="B1007" s="6" t="s">
        <v>2719</v>
      </c>
      <c r="C1007" s="6" t="s">
        <v>12</v>
      </c>
      <c r="D1007" s="6" t="s">
        <v>2281</v>
      </c>
      <c r="E1007" s="6" t="s">
        <v>2684</v>
      </c>
      <c r="F1007" s="6" t="s">
        <v>2720</v>
      </c>
      <c r="G1007" s="6" t="s">
        <v>16</v>
      </c>
      <c r="H1007" s="5">
        <v>2</v>
      </c>
      <c r="I1007" s="6" t="s">
        <v>2721</v>
      </c>
      <c r="J1007" s="5">
        <v>520</v>
      </c>
    </row>
    <row r="1008" s="2" customFormat="1" ht="27" spans="1:10">
      <c r="A1008" s="6">
        <f>1006</f>
        <v>1006</v>
      </c>
      <c r="B1008" s="6" t="s">
        <v>2722</v>
      </c>
      <c r="C1008" s="6" t="s">
        <v>12</v>
      </c>
      <c r="D1008" s="6" t="s">
        <v>2281</v>
      </c>
      <c r="E1008" s="6" t="s">
        <v>2684</v>
      </c>
      <c r="F1008" s="6" t="s">
        <v>2723</v>
      </c>
      <c r="G1008" s="6" t="s">
        <v>16</v>
      </c>
      <c r="H1008" s="5">
        <v>6</v>
      </c>
      <c r="I1008" s="6" t="s">
        <v>2724</v>
      </c>
      <c r="J1008" s="5">
        <v>425</v>
      </c>
    </row>
    <row r="1009" s="2" customFormat="1" spans="1:10">
      <c r="A1009" s="6">
        <f>1007</f>
        <v>1007</v>
      </c>
      <c r="B1009" s="6" t="s">
        <v>2725</v>
      </c>
      <c r="C1009" s="6" t="s">
        <v>12</v>
      </c>
      <c r="D1009" s="6" t="s">
        <v>2281</v>
      </c>
      <c r="E1009" s="6" t="s">
        <v>2684</v>
      </c>
      <c r="F1009" s="6" t="s">
        <v>2726</v>
      </c>
      <c r="G1009" s="6" t="s">
        <v>16</v>
      </c>
      <c r="H1009" s="5">
        <v>1</v>
      </c>
      <c r="I1009" s="6" t="s">
        <v>2726</v>
      </c>
      <c r="J1009" s="5">
        <v>520</v>
      </c>
    </row>
    <row r="1010" s="2" customFormat="1" spans="1:10">
      <c r="A1010" s="6">
        <f>1008</f>
        <v>1008</v>
      </c>
      <c r="B1010" s="6" t="s">
        <v>2727</v>
      </c>
      <c r="C1010" s="6" t="s">
        <v>12</v>
      </c>
      <c r="D1010" s="6" t="s">
        <v>2281</v>
      </c>
      <c r="E1010" s="6" t="s">
        <v>2684</v>
      </c>
      <c r="F1010" s="6" t="s">
        <v>2728</v>
      </c>
      <c r="G1010" s="6" t="s">
        <v>16</v>
      </c>
      <c r="H1010" s="5">
        <v>3</v>
      </c>
      <c r="I1010" s="6" t="s">
        <v>2729</v>
      </c>
      <c r="J1010" s="5">
        <v>380</v>
      </c>
    </row>
    <row r="1011" s="2" customFormat="1" spans="1:10">
      <c r="A1011" s="6">
        <f>1009</f>
        <v>1009</v>
      </c>
      <c r="B1011" s="6" t="s">
        <v>2730</v>
      </c>
      <c r="C1011" s="6" t="s">
        <v>12</v>
      </c>
      <c r="D1011" s="6" t="s">
        <v>2281</v>
      </c>
      <c r="E1011" s="6" t="s">
        <v>2684</v>
      </c>
      <c r="F1011" s="6" t="s">
        <v>2731</v>
      </c>
      <c r="G1011" s="6" t="s">
        <v>16</v>
      </c>
      <c r="H1011" s="5">
        <v>3</v>
      </c>
      <c r="I1011" s="6" t="s">
        <v>2732</v>
      </c>
      <c r="J1011" s="5">
        <v>355</v>
      </c>
    </row>
    <row r="1012" s="2" customFormat="1" spans="1:10">
      <c r="A1012" s="6">
        <f>1010</f>
        <v>1010</v>
      </c>
      <c r="B1012" s="6" t="s">
        <v>2733</v>
      </c>
      <c r="C1012" s="6" t="s">
        <v>12</v>
      </c>
      <c r="D1012" s="6" t="s">
        <v>2281</v>
      </c>
      <c r="E1012" s="6" t="s">
        <v>2684</v>
      </c>
      <c r="F1012" s="6" t="s">
        <v>2734</v>
      </c>
      <c r="G1012" s="6" t="s">
        <v>16</v>
      </c>
      <c r="H1012" s="5">
        <v>3</v>
      </c>
      <c r="I1012" s="6" t="s">
        <v>2735</v>
      </c>
      <c r="J1012" s="5">
        <v>750</v>
      </c>
    </row>
    <row r="1013" s="2" customFormat="1" ht="27" spans="1:10">
      <c r="A1013" s="6">
        <f>1011</f>
        <v>1011</v>
      </c>
      <c r="B1013" s="6" t="s">
        <v>2736</v>
      </c>
      <c r="C1013" s="6" t="s">
        <v>12</v>
      </c>
      <c r="D1013" s="6" t="s">
        <v>2281</v>
      </c>
      <c r="E1013" s="6" t="s">
        <v>2684</v>
      </c>
      <c r="F1013" s="6" t="s">
        <v>2737</v>
      </c>
      <c r="G1013" s="6" t="s">
        <v>16</v>
      </c>
      <c r="H1013" s="5">
        <v>4</v>
      </c>
      <c r="I1013" s="6" t="s">
        <v>2738</v>
      </c>
      <c r="J1013" s="5">
        <v>540</v>
      </c>
    </row>
    <row r="1014" s="2" customFormat="1" spans="1:10">
      <c r="A1014" s="6">
        <f>1012</f>
        <v>1012</v>
      </c>
      <c r="B1014" s="6" t="s">
        <v>2739</v>
      </c>
      <c r="C1014" s="6" t="s">
        <v>12</v>
      </c>
      <c r="D1014" s="6" t="s">
        <v>2281</v>
      </c>
      <c r="E1014" s="6" t="s">
        <v>2684</v>
      </c>
      <c r="F1014" s="6" t="s">
        <v>2740</v>
      </c>
      <c r="G1014" s="6" t="s">
        <v>16</v>
      </c>
      <c r="H1014" s="5">
        <v>3</v>
      </c>
      <c r="I1014" s="6" t="s">
        <v>2741</v>
      </c>
      <c r="J1014" s="5">
        <v>352</v>
      </c>
    </row>
    <row r="1015" s="2" customFormat="1" spans="1:10">
      <c r="A1015" s="6">
        <f>1013</f>
        <v>1013</v>
      </c>
      <c r="B1015" s="6" t="s">
        <v>2742</v>
      </c>
      <c r="C1015" s="6" t="s">
        <v>12</v>
      </c>
      <c r="D1015" s="6" t="s">
        <v>2281</v>
      </c>
      <c r="E1015" s="6" t="s">
        <v>2684</v>
      </c>
      <c r="F1015" s="6" t="s">
        <v>2743</v>
      </c>
      <c r="G1015" s="6" t="s">
        <v>16</v>
      </c>
      <c r="H1015" s="5">
        <v>3</v>
      </c>
      <c r="I1015" s="6" t="s">
        <v>2744</v>
      </c>
      <c r="J1015" s="5">
        <v>311</v>
      </c>
    </row>
    <row r="1016" s="2" customFormat="1" spans="1:10">
      <c r="A1016" s="6">
        <f>1014</f>
        <v>1014</v>
      </c>
      <c r="B1016" s="6" t="s">
        <v>2745</v>
      </c>
      <c r="C1016" s="6" t="s">
        <v>12</v>
      </c>
      <c r="D1016" s="6" t="s">
        <v>2281</v>
      </c>
      <c r="E1016" s="6" t="s">
        <v>2684</v>
      </c>
      <c r="F1016" s="6" t="s">
        <v>2746</v>
      </c>
      <c r="G1016" s="6" t="s">
        <v>16</v>
      </c>
      <c r="H1016" s="5">
        <v>2</v>
      </c>
      <c r="I1016" s="6" t="s">
        <v>2747</v>
      </c>
      <c r="J1016" s="5">
        <v>448</v>
      </c>
    </row>
    <row r="1017" s="2" customFormat="1" ht="40.5" spans="1:10">
      <c r="A1017" s="6">
        <f>1015</f>
        <v>1015</v>
      </c>
      <c r="B1017" s="6" t="s">
        <v>2748</v>
      </c>
      <c r="C1017" s="6" t="s">
        <v>12</v>
      </c>
      <c r="D1017" s="6" t="s">
        <v>2281</v>
      </c>
      <c r="E1017" s="6" t="s">
        <v>2684</v>
      </c>
      <c r="F1017" s="6" t="s">
        <v>2749</v>
      </c>
      <c r="G1017" s="6" t="s">
        <v>16</v>
      </c>
      <c r="H1017" s="5">
        <v>7</v>
      </c>
      <c r="I1017" s="6" t="s">
        <v>2750</v>
      </c>
      <c r="J1017" s="5">
        <v>800</v>
      </c>
    </row>
    <row r="1018" s="2" customFormat="1" spans="1:10">
      <c r="A1018" s="6">
        <f>1016</f>
        <v>1016</v>
      </c>
      <c r="B1018" s="6" t="s">
        <v>2751</v>
      </c>
      <c r="C1018" s="6" t="s">
        <v>12</v>
      </c>
      <c r="D1018" s="6" t="s">
        <v>2281</v>
      </c>
      <c r="E1018" s="6" t="s">
        <v>2684</v>
      </c>
      <c r="F1018" s="6" t="s">
        <v>2752</v>
      </c>
      <c r="G1018" s="6" t="s">
        <v>16</v>
      </c>
      <c r="H1018" s="5">
        <v>2</v>
      </c>
      <c r="I1018" s="6" t="s">
        <v>2753</v>
      </c>
      <c r="J1018" s="5">
        <v>504</v>
      </c>
    </row>
    <row r="1019" s="2" customFormat="1" ht="27" spans="1:10">
      <c r="A1019" s="6">
        <f>1017</f>
        <v>1017</v>
      </c>
      <c r="B1019" s="6" t="s">
        <v>2754</v>
      </c>
      <c r="C1019" s="6" t="s">
        <v>12</v>
      </c>
      <c r="D1019" s="6" t="s">
        <v>2281</v>
      </c>
      <c r="E1019" s="6" t="s">
        <v>2684</v>
      </c>
      <c r="F1019" s="6" t="s">
        <v>2755</v>
      </c>
      <c r="G1019" s="6" t="s">
        <v>16</v>
      </c>
      <c r="H1019" s="5">
        <v>4</v>
      </c>
      <c r="I1019" s="6" t="s">
        <v>2756</v>
      </c>
      <c r="J1019" s="5">
        <v>840</v>
      </c>
    </row>
    <row r="1020" s="2" customFormat="1" ht="27" spans="1:10">
      <c r="A1020" s="6">
        <f>1018</f>
        <v>1018</v>
      </c>
      <c r="B1020" s="6" t="s">
        <v>2757</v>
      </c>
      <c r="C1020" s="6" t="s">
        <v>12</v>
      </c>
      <c r="D1020" s="6" t="s">
        <v>2281</v>
      </c>
      <c r="E1020" s="6" t="s">
        <v>2684</v>
      </c>
      <c r="F1020" s="6" t="s">
        <v>2758</v>
      </c>
      <c r="G1020" s="6" t="s">
        <v>16</v>
      </c>
      <c r="H1020" s="5">
        <v>6</v>
      </c>
      <c r="I1020" s="6" t="s">
        <v>2759</v>
      </c>
      <c r="J1020" s="5">
        <v>570</v>
      </c>
    </row>
    <row r="1021" s="2" customFormat="1" spans="1:10">
      <c r="A1021" s="6">
        <f>1019</f>
        <v>1019</v>
      </c>
      <c r="B1021" s="6" t="s">
        <v>2760</v>
      </c>
      <c r="C1021" s="6" t="s">
        <v>12</v>
      </c>
      <c r="D1021" s="6" t="s">
        <v>2281</v>
      </c>
      <c r="E1021" s="6" t="s">
        <v>2684</v>
      </c>
      <c r="F1021" s="6" t="s">
        <v>2761</v>
      </c>
      <c r="G1021" s="6" t="s">
        <v>16</v>
      </c>
      <c r="H1021" s="5">
        <v>2</v>
      </c>
      <c r="I1021" s="6" t="s">
        <v>2762</v>
      </c>
      <c r="J1021" s="5">
        <v>367</v>
      </c>
    </row>
    <row r="1022" s="2" customFormat="1" spans="1:10">
      <c r="A1022" s="6">
        <f>1020</f>
        <v>1020</v>
      </c>
      <c r="B1022" s="6" t="s">
        <v>2763</v>
      </c>
      <c r="C1022" s="6" t="s">
        <v>12</v>
      </c>
      <c r="D1022" s="6" t="s">
        <v>2281</v>
      </c>
      <c r="E1022" s="6" t="s">
        <v>2684</v>
      </c>
      <c r="F1022" s="6" t="s">
        <v>2764</v>
      </c>
      <c r="G1022" s="6" t="s">
        <v>16</v>
      </c>
      <c r="H1022" s="5">
        <v>3</v>
      </c>
      <c r="I1022" s="6" t="s">
        <v>2765</v>
      </c>
      <c r="J1022" s="5">
        <v>696</v>
      </c>
    </row>
    <row r="1023" s="2" customFormat="1" spans="1:10">
      <c r="A1023" s="6">
        <f>1021</f>
        <v>1021</v>
      </c>
      <c r="B1023" s="6" t="s">
        <v>2766</v>
      </c>
      <c r="C1023" s="6" t="s">
        <v>12</v>
      </c>
      <c r="D1023" s="6" t="s">
        <v>2281</v>
      </c>
      <c r="E1023" s="6" t="s">
        <v>2684</v>
      </c>
      <c r="F1023" s="6" t="s">
        <v>2767</v>
      </c>
      <c r="G1023" s="6" t="s">
        <v>16</v>
      </c>
      <c r="H1023" s="5">
        <v>3</v>
      </c>
      <c r="I1023" s="6" t="s">
        <v>2768</v>
      </c>
      <c r="J1023" s="5">
        <v>340</v>
      </c>
    </row>
    <row r="1024" s="2" customFormat="1" ht="40.5" spans="1:10">
      <c r="A1024" s="6">
        <f>1022</f>
        <v>1022</v>
      </c>
      <c r="B1024" s="6" t="s">
        <v>2769</v>
      </c>
      <c r="C1024" s="6" t="s">
        <v>12</v>
      </c>
      <c r="D1024" s="6" t="s">
        <v>2281</v>
      </c>
      <c r="E1024" s="6" t="s">
        <v>2684</v>
      </c>
      <c r="F1024" s="6" t="s">
        <v>2770</v>
      </c>
      <c r="G1024" s="6" t="s">
        <v>16</v>
      </c>
      <c r="H1024" s="5">
        <v>7</v>
      </c>
      <c r="I1024" s="6" t="s">
        <v>2771</v>
      </c>
      <c r="J1024" s="5">
        <v>500</v>
      </c>
    </row>
    <row r="1025" s="2" customFormat="1" spans="1:10">
      <c r="A1025" s="6">
        <f>1023</f>
        <v>1023</v>
      </c>
      <c r="B1025" s="6" t="s">
        <v>2772</v>
      </c>
      <c r="C1025" s="6" t="s">
        <v>12</v>
      </c>
      <c r="D1025" s="6" t="s">
        <v>2281</v>
      </c>
      <c r="E1025" s="6" t="s">
        <v>2684</v>
      </c>
      <c r="F1025" s="6" t="s">
        <v>2773</v>
      </c>
      <c r="G1025" s="6" t="s">
        <v>16</v>
      </c>
      <c r="H1025" s="5">
        <v>2</v>
      </c>
      <c r="I1025" s="6" t="s">
        <v>2774</v>
      </c>
      <c r="J1025" s="5">
        <v>461</v>
      </c>
    </row>
    <row r="1026" s="2" customFormat="1" ht="27" spans="1:10">
      <c r="A1026" s="6">
        <f>1024</f>
        <v>1024</v>
      </c>
      <c r="B1026" s="6" t="s">
        <v>2775</v>
      </c>
      <c r="C1026" s="6" t="s">
        <v>12</v>
      </c>
      <c r="D1026" s="6" t="s">
        <v>2281</v>
      </c>
      <c r="E1026" s="6" t="s">
        <v>2684</v>
      </c>
      <c r="F1026" s="6" t="s">
        <v>2776</v>
      </c>
      <c r="G1026" s="6" t="s">
        <v>16</v>
      </c>
      <c r="H1026" s="5">
        <v>4</v>
      </c>
      <c r="I1026" s="6" t="s">
        <v>2777</v>
      </c>
      <c r="J1026" s="5">
        <v>740</v>
      </c>
    </row>
    <row r="1027" s="2" customFormat="1" spans="1:10">
      <c r="A1027" s="6">
        <f>1025</f>
        <v>1025</v>
      </c>
      <c r="B1027" s="6" t="s">
        <v>2778</v>
      </c>
      <c r="C1027" s="6" t="s">
        <v>12</v>
      </c>
      <c r="D1027" s="6" t="s">
        <v>2281</v>
      </c>
      <c r="E1027" s="6" t="s">
        <v>2684</v>
      </c>
      <c r="F1027" s="6" t="s">
        <v>2779</v>
      </c>
      <c r="G1027" s="6" t="s">
        <v>16</v>
      </c>
      <c r="H1027" s="5">
        <v>2</v>
      </c>
      <c r="I1027" s="6" t="s">
        <v>2780</v>
      </c>
      <c r="J1027" s="5">
        <v>580</v>
      </c>
    </row>
    <row r="1028" s="2" customFormat="1" spans="1:10">
      <c r="A1028" s="6">
        <f>1026</f>
        <v>1026</v>
      </c>
      <c r="B1028" s="6" t="s">
        <v>2781</v>
      </c>
      <c r="C1028" s="6" t="s">
        <v>12</v>
      </c>
      <c r="D1028" s="6" t="s">
        <v>2281</v>
      </c>
      <c r="E1028" s="6" t="s">
        <v>2684</v>
      </c>
      <c r="F1028" s="6" t="s">
        <v>2782</v>
      </c>
      <c r="G1028" s="6" t="s">
        <v>16</v>
      </c>
      <c r="H1028" s="5">
        <v>2</v>
      </c>
      <c r="I1028" s="6" t="s">
        <v>2783</v>
      </c>
      <c r="J1028" s="5">
        <v>320</v>
      </c>
    </row>
    <row r="1029" s="2" customFormat="1" ht="40.5" spans="1:10">
      <c r="A1029" s="6">
        <f>1027</f>
        <v>1027</v>
      </c>
      <c r="B1029" s="6" t="s">
        <v>2784</v>
      </c>
      <c r="C1029" s="6" t="s">
        <v>12</v>
      </c>
      <c r="D1029" s="6" t="s">
        <v>2281</v>
      </c>
      <c r="E1029" s="6" t="s">
        <v>2684</v>
      </c>
      <c r="F1029" s="6" t="s">
        <v>2785</v>
      </c>
      <c r="G1029" s="6" t="s">
        <v>16</v>
      </c>
      <c r="H1029" s="5">
        <v>7</v>
      </c>
      <c r="I1029" s="6" t="s">
        <v>2786</v>
      </c>
      <c r="J1029" s="5">
        <v>867</v>
      </c>
    </row>
    <row r="1030" s="2" customFormat="1" ht="27" spans="1:10">
      <c r="A1030" s="6">
        <f>1028</f>
        <v>1028</v>
      </c>
      <c r="B1030" s="6" t="s">
        <v>2787</v>
      </c>
      <c r="C1030" s="6" t="s">
        <v>12</v>
      </c>
      <c r="D1030" s="6" t="s">
        <v>2281</v>
      </c>
      <c r="E1030" s="6" t="s">
        <v>2684</v>
      </c>
      <c r="F1030" s="6" t="s">
        <v>2788</v>
      </c>
      <c r="G1030" s="6" t="s">
        <v>16</v>
      </c>
      <c r="H1030" s="5">
        <v>6</v>
      </c>
      <c r="I1030" s="6" t="s">
        <v>2789</v>
      </c>
      <c r="J1030" s="5">
        <v>689</v>
      </c>
    </row>
    <row r="1031" s="2" customFormat="1" spans="1:10">
      <c r="A1031" s="6">
        <f>1029</f>
        <v>1029</v>
      </c>
      <c r="B1031" s="6" t="s">
        <v>2790</v>
      </c>
      <c r="C1031" s="6" t="s">
        <v>12</v>
      </c>
      <c r="D1031" s="6" t="s">
        <v>2281</v>
      </c>
      <c r="E1031" s="6" t="s">
        <v>2684</v>
      </c>
      <c r="F1031" s="6" t="s">
        <v>2791</v>
      </c>
      <c r="G1031" s="6" t="s">
        <v>16</v>
      </c>
      <c r="H1031" s="5">
        <v>2</v>
      </c>
      <c r="I1031" s="6" t="s">
        <v>2792</v>
      </c>
      <c r="J1031" s="5">
        <v>476</v>
      </c>
    </row>
    <row r="1032" s="2" customFormat="1" ht="27" spans="1:10">
      <c r="A1032" s="6">
        <f>1030</f>
        <v>1030</v>
      </c>
      <c r="B1032" s="6" t="s">
        <v>2793</v>
      </c>
      <c r="C1032" s="6" t="s">
        <v>12</v>
      </c>
      <c r="D1032" s="6" t="s">
        <v>2281</v>
      </c>
      <c r="E1032" s="6" t="s">
        <v>2684</v>
      </c>
      <c r="F1032" s="6" t="s">
        <v>2794</v>
      </c>
      <c r="G1032" s="6" t="s">
        <v>16</v>
      </c>
      <c r="H1032" s="5">
        <v>5</v>
      </c>
      <c r="I1032" s="6" t="s">
        <v>2795</v>
      </c>
      <c r="J1032" s="5">
        <v>1140</v>
      </c>
    </row>
    <row r="1033" s="2" customFormat="1" ht="27" spans="1:10">
      <c r="A1033" s="6">
        <f>1031</f>
        <v>1031</v>
      </c>
      <c r="B1033" s="6" t="s">
        <v>2796</v>
      </c>
      <c r="C1033" s="6" t="s">
        <v>12</v>
      </c>
      <c r="D1033" s="6" t="s">
        <v>2281</v>
      </c>
      <c r="E1033" s="6" t="s">
        <v>2684</v>
      </c>
      <c r="F1033" s="6" t="s">
        <v>2797</v>
      </c>
      <c r="G1033" s="6" t="s">
        <v>16</v>
      </c>
      <c r="H1033" s="5">
        <v>5</v>
      </c>
      <c r="I1033" s="6" t="s">
        <v>2798</v>
      </c>
      <c r="J1033" s="5">
        <v>640</v>
      </c>
    </row>
    <row r="1034" s="2" customFormat="1" spans="1:10">
      <c r="A1034" s="6">
        <f>1032</f>
        <v>1032</v>
      </c>
      <c r="B1034" s="6" t="s">
        <v>2799</v>
      </c>
      <c r="C1034" s="6" t="s">
        <v>12</v>
      </c>
      <c r="D1034" s="6" t="s">
        <v>2281</v>
      </c>
      <c r="E1034" s="6" t="s">
        <v>2684</v>
      </c>
      <c r="F1034" s="6" t="s">
        <v>2800</v>
      </c>
      <c r="G1034" s="6" t="s">
        <v>16</v>
      </c>
      <c r="H1034" s="5">
        <v>2</v>
      </c>
      <c r="I1034" s="6" t="s">
        <v>2801</v>
      </c>
      <c r="J1034" s="5">
        <v>342</v>
      </c>
    </row>
    <row r="1035" s="2" customFormat="1" spans="1:10">
      <c r="A1035" s="6">
        <f>1033</f>
        <v>1033</v>
      </c>
      <c r="B1035" s="6" t="s">
        <v>2802</v>
      </c>
      <c r="C1035" s="6" t="s">
        <v>12</v>
      </c>
      <c r="D1035" s="6" t="s">
        <v>2281</v>
      </c>
      <c r="E1035" s="6" t="s">
        <v>2684</v>
      </c>
      <c r="F1035" s="6" t="s">
        <v>2803</v>
      </c>
      <c r="G1035" s="6" t="s">
        <v>16</v>
      </c>
      <c r="H1035" s="5">
        <v>3</v>
      </c>
      <c r="I1035" s="6" t="s">
        <v>2804</v>
      </c>
      <c r="J1035" s="5">
        <v>412</v>
      </c>
    </row>
    <row r="1036" s="2" customFormat="1" spans="1:10">
      <c r="A1036" s="6">
        <f>1034</f>
        <v>1034</v>
      </c>
      <c r="B1036" s="6" t="s">
        <v>2805</v>
      </c>
      <c r="C1036" s="6" t="s">
        <v>12</v>
      </c>
      <c r="D1036" s="6" t="s">
        <v>2281</v>
      </c>
      <c r="E1036" s="6" t="s">
        <v>2684</v>
      </c>
      <c r="F1036" s="6" t="s">
        <v>2806</v>
      </c>
      <c r="G1036" s="6" t="s">
        <v>16</v>
      </c>
      <c r="H1036" s="5">
        <v>2</v>
      </c>
      <c r="I1036" s="6" t="s">
        <v>2807</v>
      </c>
      <c r="J1036" s="5">
        <v>320</v>
      </c>
    </row>
    <row r="1037" s="2" customFormat="1" ht="27" spans="1:10">
      <c r="A1037" s="6">
        <f>1035</f>
        <v>1035</v>
      </c>
      <c r="B1037" s="6" t="s">
        <v>2808</v>
      </c>
      <c r="C1037" s="6" t="s">
        <v>12</v>
      </c>
      <c r="D1037" s="6" t="s">
        <v>2281</v>
      </c>
      <c r="E1037" s="6" t="s">
        <v>2684</v>
      </c>
      <c r="F1037" s="6" t="s">
        <v>2809</v>
      </c>
      <c r="G1037" s="6" t="s">
        <v>16</v>
      </c>
      <c r="H1037" s="5">
        <v>4</v>
      </c>
      <c r="I1037" s="6" t="s">
        <v>2810</v>
      </c>
      <c r="J1037" s="5">
        <v>423</v>
      </c>
    </row>
    <row r="1038" s="2" customFormat="1" spans="1:10">
      <c r="A1038" s="6">
        <f>1036</f>
        <v>1036</v>
      </c>
      <c r="B1038" s="6" t="s">
        <v>2811</v>
      </c>
      <c r="C1038" s="6" t="s">
        <v>12</v>
      </c>
      <c r="D1038" s="6" t="s">
        <v>2281</v>
      </c>
      <c r="E1038" s="6" t="s">
        <v>2684</v>
      </c>
      <c r="F1038" s="6" t="s">
        <v>2812</v>
      </c>
      <c r="G1038" s="6" t="s">
        <v>16</v>
      </c>
      <c r="H1038" s="5">
        <v>2</v>
      </c>
      <c r="I1038" s="6" t="s">
        <v>2813</v>
      </c>
      <c r="J1038" s="5">
        <v>760</v>
      </c>
    </row>
    <row r="1039" s="2" customFormat="1" spans="1:10">
      <c r="A1039" s="6">
        <f>1037</f>
        <v>1037</v>
      </c>
      <c r="B1039" s="6" t="s">
        <v>2814</v>
      </c>
      <c r="C1039" s="6" t="s">
        <v>12</v>
      </c>
      <c r="D1039" s="6" t="s">
        <v>2281</v>
      </c>
      <c r="E1039" s="6" t="s">
        <v>2684</v>
      </c>
      <c r="F1039" s="6" t="s">
        <v>2815</v>
      </c>
      <c r="G1039" s="6" t="s">
        <v>16</v>
      </c>
      <c r="H1039" s="5">
        <v>2</v>
      </c>
      <c r="I1039" s="6" t="s">
        <v>2816</v>
      </c>
      <c r="J1039" s="5">
        <v>870</v>
      </c>
    </row>
    <row r="1040" s="2" customFormat="1" spans="1:10">
      <c r="A1040" s="6">
        <f>1038</f>
        <v>1038</v>
      </c>
      <c r="B1040" s="6" t="s">
        <v>2817</v>
      </c>
      <c r="C1040" s="6" t="s">
        <v>12</v>
      </c>
      <c r="D1040" s="6" t="s">
        <v>2281</v>
      </c>
      <c r="E1040" s="6" t="s">
        <v>2684</v>
      </c>
      <c r="F1040" s="6" t="s">
        <v>2818</v>
      </c>
      <c r="G1040" s="6" t="s">
        <v>16</v>
      </c>
      <c r="H1040" s="5">
        <v>2</v>
      </c>
      <c r="I1040" s="6" t="s">
        <v>2819</v>
      </c>
      <c r="J1040" s="5">
        <v>350</v>
      </c>
    </row>
    <row r="1041" s="2" customFormat="1" ht="27" spans="1:10">
      <c r="A1041" s="6">
        <f>1039</f>
        <v>1039</v>
      </c>
      <c r="B1041" s="6" t="s">
        <v>2820</v>
      </c>
      <c r="C1041" s="6" t="s">
        <v>12</v>
      </c>
      <c r="D1041" s="6" t="s">
        <v>2281</v>
      </c>
      <c r="E1041" s="6" t="s">
        <v>2684</v>
      </c>
      <c r="F1041" s="6" t="s">
        <v>2821</v>
      </c>
      <c r="G1041" s="6" t="s">
        <v>16</v>
      </c>
      <c r="H1041" s="5">
        <v>4</v>
      </c>
      <c r="I1041" s="6" t="s">
        <v>2822</v>
      </c>
      <c r="J1041" s="5">
        <v>1160</v>
      </c>
    </row>
    <row r="1042" s="2" customFormat="1" ht="27" spans="1:10">
      <c r="A1042" s="6">
        <f>1040</f>
        <v>1040</v>
      </c>
      <c r="B1042" s="6" t="s">
        <v>2823</v>
      </c>
      <c r="C1042" s="6" t="s">
        <v>12</v>
      </c>
      <c r="D1042" s="6" t="s">
        <v>2281</v>
      </c>
      <c r="E1042" s="6" t="s">
        <v>2684</v>
      </c>
      <c r="F1042" s="6" t="s">
        <v>2824</v>
      </c>
      <c r="G1042" s="6" t="s">
        <v>16</v>
      </c>
      <c r="H1042" s="5">
        <v>4</v>
      </c>
      <c r="I1042" s="6" t="s">
        <v>2825</v>
      </c>
      <c r="J1042" s="5">
        <v>760</v>
      </c>
    </row>
    <row r="1043" s="2" customFormat="1" ht="27" spans="1:10">
      <c r="A1043" s="6">
        <f>1041</f>
        <v>1041</v>
      </c>
      <c r="B1043" s="6" t="s">
        <v>2826</v>
      </c>
      <c r="C1043" s="6" t="s">
        <v>12</v>
      </c>
      <c r="D1043" s="6" t="s">
        <v>2281</v>
      </c>
      <c r="E1043" s="6" t="s">
        <v>2684</v>
      </c>
      <c r="F1043" s="6" t="s">
        <v>2827</v>
      </c>
      <c r="G1043" s="6" t="s">
        <v>16</v>
      </c>
      <c r="H1043" s="5">
        <v>4</v>
      </c>
      <c r="I1043" s="6" t="s">
        <v>2828</v>
      </c>
      <c r="J1043" s="5">
        <v>755</v>
      </c>
    </row>
    <row r="1044" s="2" customFormat="1" spans="1:10">
      <c r="A1044" s="6">
        <f>1042</f>
        <v>1042</v>
      </c>
      <c r="B1044" s="6" t="s">
        <v>2829</v>
      </c>
      <c r="C1044" s="6" t="s">
        <v>12</v>
      </c>
      <c r="D1044" s="6" t="s">
        <v>2281</v>
      </c>
      <c r="E1044" s="6" t="s">
        <v>2684</v>
      </c>
      <c r="F1044" s="6" t="s">
        <v>2830</v>
      </c>
      <c r="G1044" s="6" t="s">
        <v>16</v>
      </c>
      <c r="H1044" s="5">
        <v>1</v>
      </c>
      <c r="I1044" s="6" t="s">
        <v>2830</v>
      </c>
      <c r="J1044" s="5">
        <v>490</v>
      </c>
    </row>
    <row r="1045" s="2" customFormat="1" spans="1:10">
      <c r="A1045" s="6">
        <f>1043</f>
        <v>1043</v>
      </c>
      <c r="B1045" s="6" t="s">
        <v>2831</v>
      </c>
      <c r="C1045" s="6" t="s">
        <v>12</v>
      </c>
      <c r="D1045" s="6" t="s">
        <v>2281</v>
      </c>
      <c r="E1045" s="6" t="s">
        <v>2684</v>
      </c>
      <c r="F1045" s="6" t="s">
        <v>2832</v>
      </c>
      <c r="G1045" s="6" t="s">
        <v>16</v>
      </c>
      <c r="H1045" s="5">
        <v>2</v>
      </c>
      <c r="I1045" s="6" t="s">
        <v>2833</v>
      </c>
      <c r="J1045" s="5">
        <v>459</v>
      </c>
    </row>
    <row r="1046" s="2" customFormat="1" spans="1:10">
      <c r="A1046" s="6">
        <f>1044</f>
        <v>1044</v>
      </c>
      <c r="B1046" s="6" t="s">
        <v>2834</v>
      </c>
      <c r="C1046" s="6" t="s">
        <v>12</v>
      </c>
      <c r="D1046" s="6" t="s">
        <v>2281</v>
      </c>
      <c r="E1046" s="6" t="s">
        <v>2684</v>
      </c>
      <c r="F1046" s="6" t="s">
        <v>2835</v>
      </c>
      <c r="G1046" s="6" t="s">
        <v>16</v>
      </c>
      <c r="H1046" s="5">
        <v>2</v>
      </c>
      <c r="I1046" s="6" t="s">
        <v>2836</v>
      </c>
      <c r="J1046" s="5">
        <v>325</v>
      </c>
    </row>
    <row r="1047" s="2" customFormat="1" spans="1:10">
      <c r="A1047" s="6">
        <f>1045</f>
        <v>1045</v>
      </c>
      <c r="B1047" s="6" t="s">
        <v>2837</v>
      </c>
      <c r="C1047" s="6" t="s">
        <v>12</v>
      </c>
      <c r="D1047" s="6" t="s">
        <v>2281</v>
      </c>
      <c r="E1047" s="6" t="s">
        <v>2684</v>
      </c>
      <c r="F1047" s="6" t="s">
        <v>2838</v>
      </c>
      <c r="G1047" s="6" t="s">
        <v>16</v>
      </c>
      <c r="H1047" s="5">
        <v>3</v>
      </c>
      <c r="I1047" s="6" t="s">
        <v>2839</v>
      </c>
      <c r="J1047" s="5">
        <v>330</v>
      </c>
    </row>
    <row r="1048" s="2" customFormat="1" spans="1:10">
      <c r="A1048" s="6">
        <f>1046</f>
        <v>1046</v>
      </c>
      <c r="B1048" s="6" t="s">
        <v>2840</v>
      </c>
      <c r="C1048" s="6" t="s">
        <v>12</v>
      </c>
      <c r="D1048" s="6" t="s">
        <v>2281</v>
      </c>
      <c r="E1048" s="6" t="s">
        <v>2684</v>
      </c>
      <c r="F1048" s="6" t="s">
        <v>2841</v>
      </c>
      <c r="G1048" s="6" t="s">
        <v>16</v>
      </c>
      <c r="H1048" s="5">
        <v>3</v>
      </c>
      <c r="I1048" s="6" t="s">
        <v>2842</v>
      </c>
      <c r="J1048" s="5">
        <v>460</v>
      </c>
    </row>
    <row r="1049" s="2" customFormat="1" spans="1:10">
      <c r="A1049" s="6">
        <f>1047</f>
        <v>1047</v>
      </c>
      <c r="B1049" s="6" t="s">
        <v>2843</v>
      </c>
      <c r="C1049" s="6" t="s">
        <v>12</v>
      </c>
      <c r="D1049" s="6" t="s">
        <v>2281</v>
      </c>
      <c r="E1049" s="6" t="s">
        <v>2684</v>
      </c>
      <c r="F1049" s="6" t="s">
        <v>2844</v>
      </c>
      <c r="G1049" s="6" t="s">
        <v>16</v>
      </c>
      <c r="H1049" s="5">
        <v>1</v>
      </c>
      <c r="I1049" s="6" t="s">
        <v>2844</v>
      </c>
      <c r="J1049" s="5">
        <v>340</v>
      </c>
    </row>
    <row r="1050" s="2" customFormat="1" spans="1:10">
      <c r="A1050" s="6">
        <f>1048</f>
        <v>1048</v>
      </c>
      <c r="B1050" s="6" t="s">
        <v>2845</v>
      </c>
      <c r="C1050" s="6" t="s">
        <v>12</v>
      </c>
      <c r="D1050" s="6" t="s">
        <v>2281</v>
      </c>
      <c r="E1050" s="6" t="s">
        <v>2684</v>
      </c>
      <c r="F1050" s="6" t="s">
        <v>2846</v>
      </c>
      <c r="G1050" s="6" t="s">
        <v>16</v>
      </c>
      <c r="H1050" s="5">
        <v>3</v>
      </c>
      <c r="I1050" s="6" t="s">
        <v>2847</v>
      </c>
      <c r="J1050" s="5">
        <v>320</v>
      </c>
    </row>
    <row r="1051" s="2" customFormat="1" ht="27" spans="1:10">
      <c r="A1051" s="6">
        <f>1049</f>
        <v>1049</v>
      </c>
      <c r="B1051" s="6" t="s">
        <v>2848</v>
      </c>
      <c r="C1051" s="6" t="s">
        <v>12</v>
      </c>
      <c r="D1051" s="6" t="s">
        <v>2281</v>
      </c>
      <c r="E1051" s="6" t="s">
        <v>2684</v>
      </c>
      <c r="F1051" s="6" t="s">
        <v>2849</v>
      </c>
      <c r="G1051" s="6" t="s">
        <v>16</v>
      </c>
      <c r="H1051" s="5">
        <v>4</v>
      </c>
      <c r="I1051" s="6" t="s">
        <v>2850</v>
      </c>
      <c r="J1051" s="5">
        <v>640</v>
      </c>
    </row>
    <row r="1052" s="2" customFormat="1" spans="1:10">
      <c r="A1052" s="6">
        <f>1050</f>
        <v>1050</v>
      </c>
      <c r="B1052" s="6" t="s">
        <v>2851</v>
      </c>
      <c r="C1052" s="6" t="s">
        <v>12</v>
      </c>
      <c r="D1052" s="6" t="s">
        <v>2281</v>
      </c>
      <c r="E1052" s="6" t="s">
        <v>2684</v>
      </c>
      <c r="F1052" s="6" t="s">
        <v>2852</v>
      </c>
      <c r="G1052" s="6" t="s">
        <v>16</v>
      </c>
      <c r="H1052" s="5">
        <v>1</v>
      </c>
      <c r="I1052" s="6" t="s">
        <v>2852</v>
      </c>
      <c r="J1052" s="5">
        <v>300</v>
      </c>
    </row>
    <row r="1053" s="2" customFormat="1" spans="1:10">
      <c r="A1053" s="6">
        <f>1051</f>
        <v>1051</v>
      </c>
      <c r="B1053" s="6" t="s">
        <v>2853</v>
      </c>
      <c r="C1053" s="6" t="s">
        <v>12</v>
      </c>
      <c r="D1053" s="6" t="s">
        <v>2281</v>
      </c>
      <c r="E1053" s="6" t="s">
        <v>2684</v>
      </c>
      <c r="F1053" s="6" t="s">
        <v>2854</v>
      </c>
      <c r="G1053" s="6" t="s">
        <v>16</v>
      </c>
      <c r="H1053" s="5">
        <v>3</v>
      </c>
      <c r="I1053" s="6" t="s">
        <v>2855</v>
      </c>
      <c r="J1053" s="5">
        <v>358</v>
      </c>
    </row>
    <row r="1054" s="2" customFormat="1" spans="1:10">
      <c r="A1054" s="6">
        <f>1052</f>
        <v>1052</v>
      </c>
      <c r="B1054" s="6" t="s">
        <v>2856</v>
      </c>
      <c r="C1054" s="6" t="s">
        <v>12</v>
      </c>
      <c r="D1054" s="6" t="s">
        <v>2281</v>
      </c>
      <c r="E1054" s="6" t="s">
        <v>2857</v>
      </c>
      <c r="F1054" s="6" t="s">
        <v>2858</v>
      </c>
      <c r="G1054" s="6" t="s">
        <v>16</v>
      </c>
      <c r="H1054" s="5">
        <v>3</v>
      </c>
      <c r="I1054" s="6" t="s">
        <v>2859</v>
      </c>
      <c r="J1054" s="5">
        <v>585</v>
      </c>
    </row>
    <row r="1055" s="2" customFormat="1" spans="1:10">
      <c r="A1055" s="6">
        <f>1053</f>
        <v>1053</v>
      </c>
      <c r="B1055" s="6" t="s">
        <v>2860</v>
      </c>
      <c r="C1055" s="6" t="s">
        <v>12</v>
      </c>
      <c r="D1055" s="6" t="s">
        <v>2281</v>
      </c>
      <c r="E1055" s="6" t="s">
        <v>2857</v>
      </c>
      <c r="F1055" s="6" t="s">
        <v>2861</v>
      </c>
      <c r="G1055" s="6" t="s">
        <v>16</v>
      </c>
      <c r="H1055" s="5">
        <v>1</v>
      </c>
      <c r="I1055" s="6" t="s">
        <v>2861</v>
      </c>
      <c r="J1055" s="5">
        <v>210</v>
      </c>
    </row>
    <row r="1056" s="2" customFormat="1" spans="1:10">
      <c r="A1056" s="6">
        <f>1054</f>
        <v>1054</v>
      </c>
      <c r="B1056" s="6" t="s">
        <v>2862</v>
      </c>
      <c r="C1056" s="6" t="s">
        <v>12</v>
      </c>
      <c r="D1056" s="6" t="s">
        <v>2281</v>
      </c>
      <c r="E1056" s="6" t="s">
        <v>2857</v>
      </c>
      <c r="F1056" s="6" t="s">
        <v>2863</v>
      </c>
      <c r="G1056" s="6" t="s">
        <v>16</v>
      </c>
      <c r="H1056" s="5">
        <v>1</v>
      </c>
      <c r="I1056" s="6" t="s">
        <v>2863</v>
      </c>
      <c r="J1056" s="5">
        <v>440</v>
      </c>
    </row>
    <row r="1057" s="2" customFormat="1" spans="1:10">
      <c r="A1057" s="6">
        <f>1055</f>
        <v>1055</v>
      </c>
      <c r="B1057" s="6" t="s">
        <v>2864</v>
      </c>
      <c r="C1057" s="6" t="s">
        <v>12</v>
      </c>
      <c r="D1057" s="6" t="s">
        <v>2281</v>
      </c>
      <c r="E1057" s="6" t="s">
        <v>2857</v>
      </c>
      <c r="F1057" s="6" t="s">
        <v>2865</v>
      </c>
      <c r="G1057" s="6" t="s">
        <v>16</v>
      </c>
      <c r="H1057" s="5">
        <v>2</v>
      </c>
      <c r="I1057" s="6" t="s">
        <v>2866</v>
      </c>
      <c r="J1057" s="5">
        <v>680</v>
      </c>
    </row>
    <row r="1058" s="2" customFormat="1" ht="27" spans="1:10">
      <c r="A1058" s="6">
        <f>1056</f>
        <v>1056</v>
      </c>
      <c r="B1058" s="6" t="s">
        <v>2867</v>
      </c>
      <c r="C1058" s="6" t="s">
        <v>12</v>
      </c>
      <c r="D1058" s="6" t="s">
        <v>2281</v>
      </c>
      <c r="E1058" s="6" t="s">
        <v>2857</v>
      </c>
      <c r="F1058" s="6" t="s">
        <v>2868</v>
      </c>
      <c r="G1058" s="6" t="s">
        <v>16</v>
      </c>
      <c r="H1058" s="5">
        <v>5</v>
      </c>
      <c r="I1058" s="6" t="s">
        <v>2869</v>
      </c>
      <c r="J1058" s="5">
        <v>950</v>
      </c>
    </row>
    <row r="1059" s="2" customFormat="1" ht="27" spans="1:10">
      <c r="A1059" s="6">
        <f>1057</f>
        <v>1057</v>
      </c>
      <c r="B1059" s="6" t="s">
        <v>2870</v>
      </c>
      <c r="C1059" s="6" t="s">
        <v>12</v>
      </c>
      <c r="D1059" s="6" t="s">
        <v>2281</v>
      </c>
      <c r="E1059" s="6" t="s">
        <v>2857</v>
      </c>
      <c r="F1059" s="6" t="s">
        <v>2871</v>
      </c>
      <c r="G1059" s="6" t="s">
        <v>16</v>
      </c>
      <c r="H1059" s="5">
        <v>6</v>
      </c>
      <c r="I1059" s="6" t="s">
        <v>2872</v>
      </c>
      <c r="J1059" s="5">
        <v>960</v>
      </c>
    </row>
    <row r="1060" s="2" customFormat="1" ht="27" spans="1:10">
      <c r="A1060" s="6">
        <f>1058</f>
        <v>1058</v>
      </c>
      <c r="B1060" s="6" t="s">
        <v>2873</v>
      </c>
      <c r="C1060" s="6" t="s">
        <v>12</v>
      </c>
      <c r="D1060" s="6" t="s">
        <v>2281</v>
      </c>
      <c r="E1060" s="6" t="s">
        <v>2857</v>
      </c>
      <c r="F1060" s="6" t="s">
        <v>2874</v>
      </c>
      <c r="G1060" s="6" t="s">
        <v>16</v>
      </c>
      <c r="H1060" s="5">
        <v>6</v>
      </c>
      <c r="I1060" s="6" t="s">
        <v>2875</v>
      </c>
      <c r="J1060" s="5">
        <v>2920</v>
      </c>
    </row>
    <row r="1061" s="2" customFormat="1" spans="1:10">
      <c r="A1061" s="6">
        <f>1059</f>
        <v>1059</v>
      </c>
      <c r="B1061" s="6" t="s">
        <v>2876</v>
      </c>
      <c r="C1061" s="6" t="s">
        <v>12</v>
      </c>
      <c r="D1061" s="6" t="s">
        <v>2281</v>
      </c>
      <c r="E1061" s="6" t="s">
        <v>2857</v>
      </c>
      <c r="F1061" s="6" t="s">
        <v>2877</v>
      </c>
      <c r="G1061" s="6" t="s">
        <v>16</v>
      </c>
      <c r="H1061" s="5">
        <v>1</v>
      </c>
      <c r="I1061" s="6" t="s">
        <v>2877</v>
      </c>
      <c r="J1061" s="5">
        <v>620</v>
      </c>
    </row>
    <row r="1062" s="2" customFormat="1" spans="1:10">
      <c r="A1062" s="6">
        <f>1060</f>
        <v>1060</v>
      </c>
      <c r="B1062" s="6" t="s">
        <v>2878</v>
      </c>
      <c r="C1062" s="6" t="s">
        <v>12</v>
      </c>
      <c r="D1062" s="6" t="s">
        <v>2281</v>
      </c>
      <c r="E1062" s="6" t="s">
        <v>2857</v>
      </c>
      <c r="F1062" s="6" t="s">
        <v>2879</v>
      </c>
      <c r="G1062" s="6" t="s">
        <v>16</v>
      </c>
      <c r="H1062" s="5">
        <v>3</v>
      </c>
      <c r="I1062" s="6" t="s">
        <v>2880</v>
      </c>
      <c r="J1062" s="5">
        <v>780</v>
      </c>
    </row>
    <row r="1063" s="2" customFormat="1" ht="27" spans="1:10">
      <c r="A1063" s="6">
        <f>1061</f>
        <v>1061</v>
      </c>
      <c r="B1063" s="6" t="s">
        <v>2881</v>
      </c>
      <c r="C1063" s="6" t="s">
        <v>12</v>
      </c>
      <c r="D1063" s="6" t="s">
        <v>2281</v>
      </c>
      <c r="E1063" s="6" t="s">
        <v>2857</v>
      </c>
      <c r="F1063" s="6" t="s">
        <v>2882</v>
      </c>
      <c r="G1063" s="6" t="s">
        <v>16</v>
      </c>
      <c r="H1063" s="5">
        <v>4</v>
      </c>
      <c r="I1063" s="6" t="s">
        <v>2883</v>
      </c>
      <c r="J1063" s="5">
        <v>576</v>
      </c>
    </row>
    <row r="1064" s="2" customFormat="1" spans="1:10">
      <c r="A1064" s="6">
        <f>1062</f>
        <v>1062</v>
      </c>
      <c r="B1064" s="6" t="s">
        <v>2884</v>
      </c>
      <c r="C1064" s="6" t="s">
        <v>12</v>
      </c>
      <c r="D1064" s="6" t="s">
        <v>2281</v>
      </c>
      <c r="E1064" s="6" t="s">
        <v>2857</v>
      </c>
      <c r="F1064" s="6" t="s">
        <v>2885</v>
      </c>
      <c r="G1064" s="6" t="s">
        <v>16</v>
      </c>
      <c r="H1064" s="5">
        <v>3</v>
      </c>
      <c r="I1064" s="6" t="s">
        <v>2886</v>
      </c>
      <c r="J1064" s="5">
        <v>490</v>
      </c>
    </row>
    <row r="1065" s="2" customFormat="1" ht="27" spans="1:10">
      <c r="A1065" s="6">
        <f>1063</f>
        <v>1063</v>
      </c>
      <c r="B1065" s="6" t="s">
        <v>2887</v>
      </c>
      <c r="C1065" s="6" t="s">
        <v>12</v>
      </c>
      <c r="D1065" s="6" t="s">
        <v>2281</v>
      </c>
      <c r="E1065" s="6" t="s">
        <v>2857</v>
      </c>
      <c r="F1065" s="6" t="s">
        <v>2597</v>
      </c>
      <c r="G1065" s="6" t="s">
        <v>16</v>
      </c>
      <c r="H1065" s="5">
        <v>4</v>
      </c>
      <c r="I1065" s="6" t="s">
        <v>2888</v>
      </c>
      <c r="J1065" s="5">
        <v>720</v>
      </c>
    </row>
    <row r="1066" s="2" customFormat="1" spans="1:10">
      <c r="A1066" s="6">
        <f>1064</f>
        <v>1064</v>
      </c>
      <c r="B1066" s="6" t="s">
        <v>2889</v>
      </c>
      <c r="C1066" s="6" t="s">
        <v>12</v>
      </c>
      <c r="D1066" s="6" t="s">
        <v>2281</v>
      </c>
      <c r="E1066" s="6" t="s">
        <v>2857</v>
      </c>
      <c r="F1066" s="6" t="s">
        <v>2890</v>
      </c>
      <c r="G1066" s="6" t="s">
        <v>16</v>
      </c>
      <c r="H1066" s="5">
        <v>2</v>
      </c>
      <c r="I1066" s="6" t="s">
        <v>2891</v>
      </c>
      <c r="J1066" s="5">
        <v>510</v>
      </c>
    </row>
    <row r="1067" s="2" customFormat="1" spans="1:10">
      <c r="A1067" s="6">
        <f>1065</f>
        <v>1065</v>
      </c>
      <c r="B1067" s="6" t="s">
        <v>2892</v>
      </c>
      <c r="C1067" s="6" t="s">
        <v>12</v>
      </c>
      <c r="D1067" s="6" t="s">
        <v>2281</v>
      </c>
      <c r="E1067" s="6" t="s">
        <v>2857</v>
      </c>
      <c r="F1067" s="6" t="s">
        <v>2893</v>
      </c>
      <c r="G1067" s="6" t="s">
        <v>16</v>
      </c>
      <c r="H1067" s="5">
        <v>1</v>
      </c>
      <c r="I1067" s="6" t="s">
        <v>2893</v>
      </c>
      <c r="J1067" s="5">
        <v>360</v>
      </c>
    </row>
    <row r="1068" s="2" customFormat="1" spans="1:10">
      <c r="A1068" s="6">
        <f>1066</f>
        <v>1066</v>
      </c>
      <c r="B1068" s="6" t="s">
        <v>2894</v>
      </c>
      <c r="C1068" s="6" t="s">
        <v>12</v>
      </c>
      <c r="D1068" s="6" t="s">
        <v>2281</v>
      </c>
      <c r="E1068" s="6" t="s">
        <v>2857</v>
      </c>
      <c r="F1068" s="6" t="s">
        <v>2895</v>
      </c>
      <c r="G1068" s="6" t="s">
        <v>16</v>
      </c>
      <c r="H1068" s="5">
        <v>1</v>
      </c>
      <c r="I1068" s="6" t="s">
        <v>2895</v>
      </c>
      <c r="J1068" s="5">
        <v>510</v>
      </c>
    </row>
    <row r="1069" s="2" customFormat="1" spans="1:10">
      <c r="A1069" s="6">
        <f>1067</f>
        <v>1067</v>
      </c>
      <c r="B1069" s="6" t="s">
        <v>2896</v>
      </c>
      <c r="C1069" s="6" t="s">
        <v>12</v>
      </c>
      <c r="D1069" s="6" t="s">
        <v>2281</v>
      </c>
      <c r="E1069" s="6" t="s">
        <v>2857</v>
      </c>
      <c r="F1069" s="6" t="s">
        <v>529</v>
      </c>
      <c r="G1069" s="6" t="s">
        <v>16</v>
      </c>
      <c r="H1069" s="5">
        <v>2</v>
      </c>
      <c r="I1069" s="6" t="s">
        <v>2897</v>
      </c>
      <c r="J1069" s="5">
        <v>328</v>
      </c>
    </row>
    <row r="1070" s="2" customFormat="1" spans="1:10">
      <c r="A1070" s="6">
        <f>1068</f>
        <v>1068</v>
      </c>
      <c r="B1070" s="6" t="s">
        <v>2898</v>
      </c>
      <c r="C1070" s="6" t="s">
        <v>12</v>
      </c>
      <c r="D1070" s="6" t="s">
        <v>2281</v>
      </c>
      <c r="E1070" s="6" t="s">
        <v>2857</v>
      </c>
      <c r="F1070" s="6" t="s">
        <v>2899</v>
      </c>
      <c r="G1070" s="6" t="s">
        <v>16</v>
      </c>
      <c r="H1070" s="5">
        <v>4</v>
      </c>
      <c r="I1070" s="6" t="s">
        <v>2900</v>
      </c>
      <c r="J1070" s="5">
        <v>1130</v>
      </c>
    </row>
    <row r="1071" s="2" customFormat="1" spans="1:10">
      <c r="A1071" s="6">
        <f>1069</f>
        <v>1069</v>
      </c>
      <c r="B1071" s="6" t="s">
        <v>2901</v>
      </c>
      <c r="C1071" s="6" t="s">
        <v>12</v>
      </c>
      <c r="D1071" s="6" t="s">
        <v>2281</v>
      </c>
      <c r="E1071" s="6" t="s">
        <v>2857</v>
      </c>
      <c r="F1071" s="6" t="s">
        <v>2902</v>
      </c>
      <c r="G1071" s="6" t="s">
        <v>16</v>
      </c>
      <c r="H1071" s="5">
        <v>3</v>
      </c>
      <c r="I1071" s="6" t="s">
        <v>2903</v>
      </c>
      <c r="J1071" s="5">
        <v>411</v>
      </c>
    </row>
    <row r="1072" s="2" customFormat="1" spans="1:10">
      <c r="A1072" s="6">
        <f>1070</f>
        <v>1070</v>
      </c>
      <c r="B1072" s="6" t="s">
        <v>2904</v>
      </c>
      <c r="C1072" s="6" t="s">
        <v>12</v>
      </c>
      <c r="D1072" s="6" t="s">
        <v>2281</v>
      </c>
      <c r="E1072" s="6" t="s">
        <v>2857</v>
      </c>
      <c r="F1072" s="6" t="s">
        <v>2905</v>
      </c>
      <c r="G1072" s="6" t="s">
        <v>16</v>
      </c>
      <c r="H1072" s="5">
        <v>3</v>
      </c>
      <c r="I1072" s="6" t="s">
        <v>2906</v>
      </c>
      <c r="J1072" s="5">
        <v>450</v>
      </c>
    </row>
    <row r="1073" s="2" customFormat="1" spans="1:10">
      <c r="A1073" s="6">
        <f>1071</f>
        <v>1071</v>
      </c>
      <c r="B1073" s="6" t="s">
        <v>2907</v>
      </c>
      <c r="C1073" s="6" t="s">
        <v>12</v>
      </c>
      <c r="D1073" s="6" t="s">
        <v>2281</v>
      </c>
      <c r="E1073" s="6" t="s">
        <v>2857</v>
      </c>
      <c r="F1073" s="6" t="s">
        <v>2908</v>
      </c>
      <c r="G1073" s="6" t="s">
        <v>16</v>
      </c>
      <c r="H1073" s="5">
        <v>1</v>
      </c>
      <c r="I1073" s="6" t="s">
        <v>2908</v>
      </c>
      <c r="J1073" s="5">
        <v>307</v>
      </c>
    </row>
    <row r="1074" s="2" customFormat="1" ht="40.5" spans="1:10">
      <c r="A1074" s="6">
        <f>1072</f>
        <v>1072</v>
      </c>
      <c r="B1074" s="6" t="s">
        <v>2909</v>
      </c>
      <c r="C1074" s="6" t="s">
        <v>12</v>
      </c>
      <c r="D1074" s="6" t="s">
        <v>2281</v>
      </c>
      <c r="E1074" s="6" t="s">
        <v>2857</v>
      </c>
      <c r="F1074" s="6" t="s">
        <v>2910</v>
      </c>
      <c r="G1074" s="6" t="s">
        <v>16</v>
      </c>
      <c r="H1074" s="5">
        <v>7</v>
      </c>
      <c r="I1074" s="6" t="s">
        <v>2911</v>
      </c>
      <c r="J1074" s="5">
        <v>1092</v>
      </c>
    </row>
    <row r="1075" s="2" customFormat="1" ht="40.5" spans="1:10">
      <c r="A1075" s="6">
        <f>1073</f>
        <v>1073</v>
      </c>
      <c r="B1075" s="6" t="s">
        <v>2912</v>
      </c>
      <c r="C1075" s="6" t="s">
        <v>12</v>
      </c>
      <c r="D1075" s="6" t="s">
        <v>2281</v>
      </c>
      <c r="E1075" s="6" t="s">
        <v>2857</v>
      </c>
      <c r="F1075" s="6" t="s">
        <v>2913</v>
      </c>
      <c r="G1075" s="6" t="s">
        <v>16</v>
      </c>
      <c r="H1075" s="5">
        <v>7</v>
      </c>
      <c r="I1075" s="6" t="s">
        <v>2914</v>
      </c>
      <c r="J1075" s="5">
        <v>1000</v>
      </c>
    </row>
    <row r="1076" s="2" customFormat="1" ht="27" spans="1:10">
      <c r="A1076" s="6">
        <f>1074</f>
        <v>1074</v>
      </c>
      <c r="B1076" s="6" t="s">
        <v>2915</v>
      </c>
      <c r="C1076" s="6" t="s">
        <v>12</v>
      </c>
      <c r="D1076" s="6" t="s">
        <v>2281</v>
      </c>
      <c r="E1076" s="6" t="s">
        <v>2857</v>
      </c>
      <c r="F1076" s="6" t="s">
        <v>2916</v>
      </c>
      <c r="G1076" s="6" t="s">
        <v>16</v>
      </c>
      <c r="H1076" s="5">
        <v>6</v>
      </c>
      <c r="I1076" s="6" t="s">
        <v>2917</v>
      </c>
      <c r="J1076" s="5">
        <v>595</v>
      </c>
    </row>
    <row r="1077" s="2" customFormat="1" spans="1:10">
      <c r="A1077" s="6">
        <f>1075</f>
        <v>1075</v>
      </c>
      <c r="B1077" s="6" t="s">
        <v>2918</v>
      </c>
      <c r="C1077" s="6" t="s">
        <v>12</v>
      </c>
      <c r="D1077" s="6" t="s">
        <v>2281</v>
      </c>
      <c r="E1077" s="6" t="s">
        <v>2857</v>
      </c>
      <c r="F1077" s="6" t="s">
        <v>2919</v>
      </c>
      <c r="G1077" s="6" t="s">
        <v>16</v>
      </c>
      <c r="H1077" s="5">
        <v>3</v>
      </c>
      <c r="I1077" s="6" t="s">
        <v>2920</v>
      </c>
      <c r="J1077" s="5">
        <v>576</v>
      </c>
    </row>
    <row r="1078" s="2" customFormat="1" spans="1:10">
      <c r="A1078" s="6">
        <f>1076</f>
        <v>1076</v>
      </c>
      <c r="B1078" s="6" t="s">
        <v>2921</v>
      </c>
      <c r="C1078" s="6" t="s">
        <v>12</v>
      </c>
      <c r="D1078" s="6" t="s">
        <v>2281</v>
      </c>
      <c r="E1078" s="6" t="s">
        <v>2857</v>
      </c>
      <c r="F1078" s="6" t="s">
        <v>2922</v>
      </c>
      <c r="G1078" s="6" t="s">
        <v>16</v>
      </c>
      <c r="H1078" s="5">
        <v>2</v>
      </c>
      <c r="I1078" s="6" t="s">
        <v>2923</v>
      </c>
      <c r="J1078" s="5">
        <v>400</v>
      </c>
    </row>
    <row r="1079" s="2" customFormat="1" ht="27" spans="1:10">
      <c r="A1079" s="6">
        <f>1077</f>
        <v>1077</v>
      </c>
      <c r="B1079" s="6" t="s">
        <v>2924</v>
      </c>
      <c r="C1079" s="6" t="s">
        <v>12</v>
      </c>
      <c r="D1079" s="6" t="s">
        <v>2281</v>
      </c>
      <c r="E1079" s="6" t="s">
        <v>2857</v>
      </c>
      <c r="F1079" s="6" t="s">
        <v>2925</v>
      </c>
      <c r="G1079" s="6" t="s">
        <v>16</v>
      </c>
      <c r="H1079" s="5">
        <v>4</v>
      </c>
      <c r="I1079" s="6" t="s">
        <v>2926</v>
      </c>
      <c r="J1079" s="5">
        <v>1360</v>
      </c>
    </row>
    <row r="1080" s="2" customFormat="1" spans="1:10">
      <c r="A1080" s="6">
        <f>1078</f>
        <v>1078</v>
      </c>
      <c r="B1080" s="6" t="s">
        <v>2927</v>
      </c>
      <c r="C1080" s="6" t="s">
        <v>12</v>
      </c>
      <c r="D1080" s="6" t="s">
        <v>2281</v>
      </c>
      <c r="E1080" s="6" t="s">
        <v>2857</v>
      </c>
      <c r="F1080" s="6" t="s">
        <v>2928</v>
      </c>
      <c r="G1080" s="6" t="s">
        <v>16</v>
      </c>
      <c r="H1080" s="5">
        <v>2</v>
      </c>
      <c r="I1080" s="6" t="s">
        <v>2929</v>
      </c>
      <c r="J1080" s="5">
        <v>640</v>
      </c>
    </row>
    <row r="1081" s="2" customFormat="1" spans="1:10">
      <c r="A1081" s="6">
        <f>1079</f>
        <v>1079</v>
      </c>
      <c r="B1081" s="6" t="s">
        <v>2930</v>
      </c>
      <c r="C1081" s="6" t="s">
        <v>12</v>
      </c>
      <c r="D1081" s="6" t="s">
        <v>2281</v>
      </c>
      <c r="E1081" s="6" t="s">
        <v>2857</v>
      </c>
      <c r="F1081" s="6" t="s">
        <v>2931</v>
      </c>
      <c r="G1081" s="6" t="s">
        <v>16</v>
      </c>
      <c r="H1081" s="5">
        <v>2</v>
      </c>
      <c r="I1081" s="6" t="s">
        <v>2932</v>
      </c>
      <c r="J1081" s="5">
        <v>456</v>
      </c>
    </row>
    <row r="1082" s="2" customFormat="1" spans="1:10">
      <c r="A1082" s="6">
        <f>1080</f>
        <v>1080</v>
      </c>
      <c r="B1082" s="6" t="s">
        <v>2933</v>
      </c>
      <c r="C1082" s="6" t="s">
        <v>12</v>
      </c>
      <c r="D1082" s="6" t="s">
        <v>2281</v>
      </c>
      <c r="E1082" s="6" t="s">
        <v>2857</v>
      </c>
      <c r="F1082" s="6" t="s">
        <v>2934</v>
      </c>
      <c r="G1082" s="6" t="s">
        <v>16</v>
      </c>
      <c r="H1082" s="5">
        <v>2</v>
      </c>
      <c r="I1082" s="6" t="s">
        <v>2935</v>
      </c>
      <c r="J1082" s="5">
        <v>507</v>
      </c>
    </row>
    <row r="1083" s="2" customFormat="1" spans="1:10">
      <c r="A1083" s="6">
        <f>1081</f>
        <v>1081</v>
      </c>
      <c r="B1083" s="6" t="s">
        <v>2936</v>
      </c>
      <c r="C1083" s="6" t="s">
        <v>12</v>
      </c>
      <c r="D1083" s="6" t="s">
        <v>2281</v>
      </c>
      <c r="E1083" s="6" t="s">
        <v>2857</v>
      </c>
      <c r="F1083" s="6" t="s">
        <v>2937</v>
      </c>
      <c r="G1083" s="6" t="s">
        <v>16</v>
      </c>
      <c r="H1083" s="5">
        <v>1</v>
      </c>
      <c r="I1083" s="6" t="s">
        <v>2937</v>
      </c>
      <c r="J1083" s="5">
        <v>240</v>
      </c>
    </row>
    <row r="1084" s="2" customFormat="1" spans="1:10">
      <c r="A1084" s="6">
        <f>1082</f>
        <v>1082</v>
      </c>
      <c r="B1084" s="6" t="s">
        <v>2938</v>
      </c>
      <c r="C1084" s="6" t="s">
        <v>12</v>
      </c>
      <c r="D1084" s="6" t="s">
        <v>2281</v>
      </c>
      <c r="E1084" s="6" t="s">
        <v>2857</v>
      </c>
      <c r="F1084" s="6" t="s">
        <v>2939</v>
      </c>
      <c r="G1084" s="6" t="s">
        <v>16</v>
      </c>
      <c r="H1084" s="5">
        <v>2</v>
      </c>
      <c r="I1084" s="6" t="s">
        <v>2940</v>
      </c>
      <c r="J1084" s="5">
        <v>426</v>
      </c>
    </row>
    <row r="1085" s="2" customFormat="1" ht="27" spans="1:10">
      <c r="A1085" s="6">
        <f>1083</f>
        <v>1083</v>
      </c>
      <c r="B1085" s="6" t="s">
        <v>2941</v>
      </c>
      <c r="C1085" s="6" t="s">
        <v>12</v>
      </c>
      <c r="D1085" s="6" t="s">
        <v>2281</v>
      </c>
      <c r="E1085" s="6" t="s">
        <v>2857</v>
      </c>
      <c r="F1085" s="6" t="s">
        <v>2942</v>
      </c>
      <c r="G1085" s="6" t="s">
        <v>16</v>
      </c>
      <c r="H1085" s="5">
        <v>4</v>
      </c>
      <c r="I1085" s="6" t="s">
        <v>2943</v>
      </c>
      <c r="J1085" s="5">
        <v>660</v>
      </c>
    </row>
    <row r="1086" s="2" customFormat="1" ht="27" spans="1:10">
      <c r="A1086" s="6">
        <f>1084</f>
        <v>1084</v>
      </c>
      <c r="B1086" s="6" t="s">
        <v>2944</v>
      </c>
      <c r="C1086" s="6" t="s">
        <v>12</v>
      </c>
      <c r="D1086" s="6" t="s">
        <v>2281</v>
      </c>
      <c r="E1086" s="6" t="s">
        <v>2857</v>
      </c>
      <c r="F1086" s="6" t="s">
        <v>2945</v>
      </c>
      <c r="G1086" s="6" t="s">
        <v>16</v>
      </c>
      <c r="H1086" s="5">
        <v>4</v>
      </c>
      <c r="I1086" s="6" t="s">
        <v>2946</v>
      </c>
      <c r="J1086" s="5">
        <v>576</v>
      </c>
    </row>
    <row r="1087" s="2" customFormat="1" spans="1:10">
      <c r="A1087" s="6">
        <f>1085</f>
        <v>1085</v>
      </c>
      <c r="B1087" s="6" t="s">
        <v>2947</v>
      </c>
      <c r="C1087" s="6" t="s">
        <v>12</v>
      </c>
      <c r="D1087" s="6" t="s">
        <v>2281</v>
      </c>
      <c r="E1087" s="6" t="s">
        <v>2857</v>
      </c>
      <c r="F1087" s="6" t="s">
        <v>2948</v>
      </c>
      <c r="G1087" s="6" t="s">
        <v>16</v>
      </c>
      <c r="H1087" s="5">
        <v>2</v>
      </c>
      <c r="I1087" s="6" t="s">
        <v>2949</v>
      </c>
      <c r="J1087" s="5">
        <v>635</v>
      </c>
    </row>
    <row r="1088" s="2" customFormat="1" spans="1:10">
      <c r="A1088" s="6">
        <f>1086</f>
        <v>1086</v>
      </c>
      <c r="B1088" s="6" t="s">
        <v>2950</v>
      </c>
      <c r="C1088" s="6" t="s">
        <v>12</v>
      </c>
      <c r="D1088" s="6" t="s">
        <v>2281</v>
      </c>
      <c r="E1088" s="6" t="s">
        <v>2857</v>
      </c>
      <c r="F1088" s="6" t="s">
        <v>2951</v>
      </c>
      <c r="G1088" s="6" t="s">
        <v>16</v>
      </c>
      <c r="H1088" s="5">
        <v>3</v>
      </c>
      <c r="I1088" s="6" t="s">
        <v>2952</v>
      </c>
      <c r="J1088" s="5">
        <v>882</v>
      </c>
    </row>
    <row r="1089" s="2" customFormat="1" spans="1:10">
      <c r="A1089" s="6">
        <f>1087</f>
        <v>1087</v>
      </c>
      <c r="B1089" s="6" t="s">
        <v>2953</v>
      </c>
      <c r="C1089" s="6" t="s">
        <v>12</v>
      </c>
      <c r="D1089" s="6" t="s">
        <v>2281</v>
      </c>
      <c r="E1089" s="6" t="s">
        <v>2857</v>
      </c>
      <c r="F1089" s="6" t="s">
        <v>2954</v>
      </c>
      <c r="G1089" s="6" t="s">
        <v>16</v>
      </c>
      <c r="H1089" s="5">
        <v>3</v>
      </c>
      <c r="I1089" s="6" t="s">
        <v>2955</v>
      </c>
      <c r="J1089" s="5">
        <v>540</v>
      </c>
    </row>
    <row r="1090" s="2" customFormat="1" spans="1:10">
      <c r="A1090" s="6">
        <f>1088</f>
        <v>1088</v>
      </c>
      <c r="B1090" s="6" t="s">
        <v>2956</v>
      </c>
      <c r="C1090" s="6" t="s">
        <v>12</v>
      </c>
      <c r="D1090" s="6" t="s">
        <v>2281</v>
      </c>
      <c r="E1090" s="6" t="s">
        <v>2857</v>
      </c>
      <c r="F1090" s="6" t="s">
        <v>2957</v>
      </c>
      <c r="G1090" s="6" t="s">
        <v>16</v>
      </c>
      <c r="H1090" s="5">
        <v>2</v>
      </c>
      <c r="I1090" s="6" t="s">
        <v>2958</v>
      </c>
      <c r="J1090" s="5">
        <v>384</v>
      </c>
    </row>
    <row r="1091" s="2" customFormat="1" spans="1:10">
      <c r="A1091" s="6">
        <f>1089</f>
        <v>1089</v>
      </c>
      <c r="B1091" s="6" t="s">
        <v>2959</v>
      </c>
      <c r="C1091" s="6" t="s">
        <v>12</v>
      </c>
      <c r="D1091" s="6" t="s">
        <v>2281</v>
      </c>
      <c r="E1091" s="6" t="s">
        <v>2857</v>
      </c>
      <c r="F1091" s="6" t="s">
        <v>2960</v>
      </c>
      <c r="G1091" s="6" t="s">
        <v>16</v>
      </c>
      <c r="H1091" s="5">
        <v>2</v>
      </c>
      <c r="I1091" s="6" t="s">
        <v>2961</v>
      </c>
      <c r="J1091" s="5">
        <v>332</v>
      </c>
    </row>
    <row r="1092" s="2" customFormat="1" ht="27" spans="1:10">
      <c r="A1092" s="6">
        <f>1090</f>
        <v>1090</v>
      </c>
      <c r="B1092" s="6" t="s">
        <v>2962</v>
      </c>
      <c r="C1092" s="6" t="s">
        <v>12</v>
      </c>
      <c r="D1092" s="6" t="s">
        <v>2281</v>
      </c>
      <c r="E1092" s="6" t="s">
        <v>2857</v>
      </c>
      <c r="F1092" s="6" t="s">
        <v>2963</v>
      </c>
      <c r="G1092" s="6" t="s">
        <v>16</v>
      </c>
      <c r="H1092" s="5">
        <v>5</v>
      </c>
      <c r="I1092" s="6" t="s">
        <v>2964</v>
      </c>
      <c r="J1092" s="5">
        <v>945</v>
      </c>
    </row>
    <row r="1093" s="2" customFormat="1" spans="1:10">
      <c r="A1093" s="6">
        <f>1091</f>
        <v>1091</v>
      </c>
      <c r="B1093" s="6" t="s">
        <v>2965</v>
      </c>
      <c r="C1093" s="6" t="s">
        <v>12</v>
      </c>
      <c r="D1093" s="6" t="s">
        <v>2281</v>
      </c>
      <c r="E1093" s="6" t="s">
        <v>2857</v>
      </c>
      <c r="F1093" s="6" t="s">
        <v>2966</v>
      </c>
      <c r="G1093" s="6" t="s">
        <v>16</v>
      </c>
      <c r="H1093" s="5">
        <v>1</v>
      </c>
      <c r="I1093" s="6" t="s">
        <v>2966</v>
      </c>
      <c r="J1093" s="5">
        <v>247</v>
      </c>
    </row>
    <row r="1094" s="2" customFormat="1" spans="1:10">
      <c r="A1094" s="6">
        <f>1092</f>
        <v>1092</v>
      </c>
      <c r="B1094" s="6" t="s">
        <v>2967</v>
      </c>
      <c r="C1094" s="6" t="s">
        <v>12</v>
      </c>
      <c r="D1094" s="6" t="s">
        <v>2281</v>
      </c>
      <c r="E1094" s="6" t="s">
        <v>2857</v>
      </c>
      <c r="F1094" s="6" t="s">
        <v>2968</v>
      </c>
      <c r="G1094" s="6" t="s">
        <v>16</v>
      </c>
      <c r="H1094" s="5">
        <v>1</v>
      </c>
      <c r="I1094" s="6" t="s">
        <v>2968</v>
      </c>
      <c r="J1094" s="5">
        <v>500</v>
      </c>
    </row>
    <row r="1095" s="2" customFormat="1" spans="1:10">
      <c r="A1095" s="6">
        <f>1093</f>
        <v>1093</v>
      </c>
      <c r="B1095" s="6" t="s">
        <v>2969</v>
      </c>
      <c r="C1095" s="6" t="s">
        <v>12</v>
      </c>
      <c r="D1095" s="6" t="s">
        <v>2281</v>
      </c>
      <c r="E1095" s="6" t="s">
        <v>2970</v>
      </c>
      <c r="F1095" s="6" t="s">
        <v>2971</v>
      </c>
      <c r="G1095" s="6" t="s">
        <v>16</v>
      </c>
      <c r="H1095" s="5">
        <v>1</v>
      </c>
      <c r="I1095" s="6" t="s">
        <v>2971</v>
      </c>
      <c r="J1095" s="5">
        <v>360</v>
      </c>
    </row>
    <row r="1096" s="2" customFormat="1" spans="1:10">
      <c r="A1096" s="6">
        <f>1094</f>
        <v>1094</v>
      </c>
      <c r="B1096" s="6" t="s">
        <v>2972</v>
      </c>
      <c r="C1096" s="6" t="s">
        <v>12</v>
      </c>
      <c r="D1096" s="6" t="s">
        <v>2281</v>
      </c>
      <c r="E1096" s="6" t="s">
        <v>2970</v>
      </c>
      <c r="F1096" s="6" t="s">
        <v>2973</v>
      </c>
      <c r="G1096" s="6" t="s">
        <v>16</v>
      </c>
      <c r="H1096" s="5">
        <v>1</v>
      </c>
      <c r="I1096" s="6" t="s">
        <v>2973</v>
      </c>
      <c r="J1096" s="5">
        <v>540</v>
      </c>
    </row>
    <row r="1097" s="2" customFormat="1" spans="1:10">
      <c r="A1097" s="6">
        <f>1095</f>
        <v>1095</v>
      </c>
      <c r="B1097" s="6" t="s">
        <v>2974</v>
      </c>
      <c r="C1097" s="6" t="s">
        <v>12</v>
      </c>
      <c r="D1097" s="6" t="s">
        <v>2281</v>
      </c>
      <c r="E1097" s="6" t="s">
        <v>2970</v>
      </c>
      <c r="F1097" s="6" t="s">
        <v>2975</v>
      </c>
      <c r="G1097" s="6" t="s">
        <v>16</v>
      </c>
      <c r="H1097" s="5">
        <v>2</v>
      </c>
      <c r="I1097" s="6" t="s">
        <v>2976</v>
      </c>
      <c r="J1097" s="5">
        <v>380</v>
      </c>
    </row>
    <row r="1098" s="2" customFormat="1" spans="1:10">
      <c r="A1098" s="6">
        <f>1096</f>
        <v>1096</v>
      </c>
      <c r="B1098" s="6" t="s">
        <v>2977</v>
      </c>
      <c r="C1098" s="6" t="s">
        <v>12</v>
      </c>
      <c r="D1098" s="6" t="s">
        <v>2281</v>
      </c>
      <c r="E1098" s="6" t="s">
        <v>2970</v>
      </c>
      <c r="F1098" s="6" t="s">
        <v>2978</v>
      </c>
      <c r="G1098" s="6" t="s">
        <v>16</v>
      </c>
      <c r="H1098" s="5">
        <v>2</v>
      </c>
      <c r="I1098" s="6" t="s">
        <v>2979</v>
      </c>
      <c r="J1098" s="5">
        <v>1240</v>
      </c>
    </row>
    <row r="1099" s="2" customFormat="1" spans="1:10">
      <c r="A1099" s="6">
        <f>1097</f>
        <v>1097</v>
      </c>
      <c r="B1099" s="6" t="s">
        <v>2980</v>
      </c>
      <c r="C1099" s="6" t="s">
        <v>12</v>
      </c>
      <c r="D1099" s="6" t="s">
        <v>2281</v>
      </c>
      <c r="E1099" s="6" t="s">
        <v>2970</v>
      </c>
      <c r="F1099" s="6" t="s">
        <v>2981</v>
      </c>
      <c r="G1099" s="6" t="s">
        <v>16</v>
      </c>
      <c r="H1099" s="5">
        <v>2</v>
      </c>
      <c r="I1099" s="6" t="s">
        <v>2982</v>
      </c>
      <c r="J1099" s="5">
        <v>1146</v>
      </c>
    </row>
    <row r="1100" s="2" customFormat="1" spans="1:10">
      <c r="A1100" s="6">
        <f>1098</f>
        <v>1098</v>
      </c>
      <c r="B1100" s="6" t="s">
        <v>2983</v>
      </c>
      <c r="C1100" s="6" t="s">
        <v>12</v>
      </c>
      <c r="D1100" s="6" t="s">
        <v>2281</v>
      </c>
      <c r="E1100" s="6" t="s">
        <v>2970</v>
      </c>
      <c r="F1100" s="6" t="s">
        <v>2984</v>
      </c>
      <c r="G1100" s="6" t="s">
        <v>16</v>
      </c>
      <c r="H1100" s="5">
        <v>3</v>
      </c>
      <c r="I1100" s="6" t="s">
        <v>2985</v>
      </c>
      <c r="J1100" s="5">
        <v>984</v>
      </c>
    </row>
    <row r="1101" s="2" customFormat="1" spans="1:10">
      <c r="A1101" s="6">
        <f>1099</f>
        <v>1099</v>
      </c>
      <c r="B1101" s="6" t="s">
        <v>2986</v>
      </c>
      <c r="C1101" s="6" t="s">
        <v>12</v>
      </c>
      <c r="D1101" s="6" t="s">
        <v>2281</v>
      </c>
      <c r="E1101" s="6" t="s">
        <v>2970</v>
      </c>
      <c r="F1101" s="6" t="s">
        <v>2987</v>
      </c>
      <c r="G1101" s="6" t="s">
        <v>16</v>
      </c>
      <c r="H1101" s="5">
        <v>3</v>
      </c>
      <c r="I1101" s="6" t="s">
        <v>2988</v>
      </c>
      <c r="J1101" s="5">
        <v>1170</v>
      </c>
    </row>
    <row r="1102" s="2" customFormat="1" spans="1:10">
      <c r="A1102" s="6">
        <f>1100</f>
        <v>1100</v>
      </c>
      <c r="B1102" s="6" t="s">
        <v>2989</v>
      </c>
      <c r="C1102" s="6" t="s">
        <v>12</v>
      </c>
      <c r="D1102" s="6" t="s">
        <v>2281</v>
      </c>
      <c r="E1102" s="6" t="s">
        <v>2970</v>
      </c>
      <c r="F1102" s="6" t="s">
        <v>2990</v>
      </c>
      <c r="G1102" s="6" t="s">
        <v>16</v>
      </c>
      <c r="H1102" s="5">
        <v>1</v>
      </c>
      <c r="I1102" s="6" t="s">
        <v>2990</v>
      </c>
      <c r="J1102" s="5">
        <v>620</v>
      </c>
    </row>
    <row r="1103" s="2" customFormat="1" spans="1:10">
      <c r="A1103" s="6">
        <f>1101</f>
        <v>1101</v>
      </c>
      <c r="B1103" s="6" t="s">
        <v>2991</v>
      </c>
      <c r="C1103" s="6" t="s">
        <v>12</v>
      </c>
      <c r="D1103" s="6" t="s">
        <v>2281</v>
      </c>
      <c r="E1103" s="6" t="s">
        <v>2970</v>
      </c>
      <c r="F1103" s="6" t="s">
        <v>2992</v>
      </c>
      <c r="G1103" s="6" t="s">
        <v>16</v>
      </c>
      <c r="H1103" s="5">
        <v>1</v>
      </c>
      <c r="I1103" s="6" t="s">
        <v>2992</v>
      </c>
      <c r="J1103" s="5">
        <v>540</v>
      </c>
    </row>
    <row r="1104" s="2" customFormat="1" spans="1:10">
      <c r="A1104" s="6">
        <f>1102</f>
        <v>1102</v>
      </c>
      <c r="B1104" s="6" t="s">
        <v>2993</v>
      </c>
      <c r="C1104" s="6" t="s">
        <v>12</v>
      </c>
      <c r="D1104" s="6" t="s">
        <v>2281</v>
      </c>
      <c r="E1104" s="6" t="s">
        <v>2970</v>
      </c>
      <c r="F1104" s="6" t="s">
        <v>2994</v>
      </c>
      <c r="G1104" s="6" t="s">
        <v>16</v>
      </c>
      <c r="H1104" s="5">
        <v>2</v>
      </c>
      <c r="I1104" s="6" t="s">
        <v>2995</v>
      </c>
      <c r="J1104" s="5">
        <v>660</v>
      </c>
    </row>
    <row r="1105" s="2" customFormat="1" ht="27" spans="1:10">
      <c r="A1105" s="6">
        <f>1103</f>
        <v>1103</v>
      </c>
      <c r="B1105" s="6" t="s">
        <v>2996</v>
      </c>
      <c r="C1105" s="6" t="s">
        <v>12</v>
      </c>
      <c r="D1105" s="6" t="s">
        <v>2281</v>
      </c>
      <c r="E1105" s="6" t="s">
        <v>2970</v>
      </c>
      <c r="F1105" s="6" t="s">
        <v>2997</v>
      </c>
      <c r="G1105" s="6" t="s">
        <v>16</v>
      </c>
      <c r="H1105" s="5">
        <v>4</v>
      </c>
      <c r="I1105" s="6" t="s">
        <v>2998</v>
      </c>
      <c r="J1105" s="5">
        <v>2480</v>
      </c>
    </row>
    <row r="1106" s="2" customFormat="1" spans="1:10">
      <c r="A1106" s="6">
        <f>1104</f>
        <v>1104</v>
      </c>
      <c r="B1106" s="6" t="s">
        <v>2999</v>
      </c>
      <c r="C1106" s="6" t="s">
        <v>12</v>
      </c>
      <c r="D1106" s="6" t="s">
        <v>2281</v>
      </c>
      <c r="E1106" s="6" t="s">
        <v>2970</v>
      </c>
      <c r="F1106" s="6" t="s">
        <v>3000</v>
      </c>
      <c r="G1106" s="6" t="s">
        <v>16</v>
      </c>
      <c r="H1106" s="5">
        <v>2</v>
      </c>
      <c r="I1106" s="6" t="s">
        <v>3001</v>
      </c>
      <c r="J1106" s="5">
        <v>680</v>
      </c>
    </row>
    <row r="1107" s="2" customFormat="1" spans="1:10">
      <c r="A1107" s="6">
        <f>1105</f>
        <v>1105</v>
      </c>
      <c r="B1107" s="6" t="s">
        <v>3002</v>
      </c>
      <c r="C1107" s="6" t="s">
        <v>12</v>
      </c>
      <c r="D1107" s="6" t="s">
        <v>2281</v>
      </c>
      <c r="E1107" s="6" t="s">
        <v>2970</v>
      </c>
      <c r="F1107" s="6" t="s">
        <v>3003</v>
      </c>
      <c r="G1107" s="6" t="s">
        <v>16</v>
      </c>
      <c r="H1107" s="5">
        <v>1</v>
      </c>
      <c r="I1107" s="6" t="s">
        <v>3003</v>
      </c>
      <c r="J1107" s="5">
        <v>620</v>
      </c>
    </row>
    <row r="1108" s="2" customFormat="1" spans="1:10">
      <c r="A1108" s="6">
        <f>1106</f>
        <v>1106</v>
      </c>
      <c r="B1108" s="6" t="s">
        <v>3004</v>
      </c>
      <c r="C1108" s="6" t="s">
        <v>12</v>
      </c>
      <c r="D1108" s="6" t="s">
        <v>2281</v>
      </c>
      <c r="E1108" s="6" t="s">
        <v>2970</v>
      </c>
      <c r="F1108" s="6" t="s">
        <v>3005</v>
      </c>
      <c r="G1108" s="6" t="s">
        <v>16</v>
      </c>
      <c r="H1108" s="5">
        <v>3</v>
      </c>
      <c r="I1108" s="6" t="s">
        <v>3006</v>
      </c>
      <c r="J1108" s="5">
        <v>911</v>
      </c>
    </row>
    <row r="1109" s="2" customFormat="1" spans="1:10">
      <c r="A1109" s="6">
        <f>1107</f>
        <v>1107</v>
      </c>
      <c r="B1109" s="6" t="s">
        <v>3007</v>
      </c>
      <c r="C1109" s="6" t="s">
        <v>12</v>
      </c>
      <c r="D1109" s="6" t="s">
        <v>2281</v>
      </c>
      <c r="E1109" s="6" t="s">
        <v>2970</v>
      </c>
      <c r="F1109" s="6" t="s">
        <v>3008</v>
      </c>
      <c r="G1109" s="6" t="s">
        <v>16</v>
      </c>
      <c r="H1109" s="5">
        <v>1</v>
      </c>
      <c r="I1109" s="6" t="s">
        <v>3008</v>
      </c>
      <c r="J1109" s="5">
        <v>337</v>
      </c>
    </row>
    <row r="1110" s="2" customFormat="1" ht="27" spans="1:10">
      <c r="A1110" s="6">
        <f>1108</f>
        <v>1108</v>
      </c>
      <c r="B1110" s="6" t="s">
        <v>3009</v>
      </c>
      <c r="C1110" s="6" t="s">
        <v>12</v>
      </c>
      <c r="D1110" s="6" t="s">
        <v>2281</v>
      </c>
      <c r="E1110" s="6" t="s">
        <v>2970</v>
      </c>
      <c r="F1110" s="6" t="s">
        <v>3010</v>
      </c>
      <c r="G1110" s="6" t="s">
        <v>16</v>
      </c>
      <c r="H1110" s="5">
        <v>4</v>
      </c>
      <c r="I1110" s="6" t="s">
        <v>3011</v>
      </c>
      <c r="J1110" s="5">
        <v>665</v>
      </c>
    </row>
    <row r="1111" s="2" customFormat="1" spans="1:10">
      <c r="A1111" s="6">
        <f>1109</f>
        <v>1109</v>
      </c>
      <c r="B1111" s="6" t="s">
        <v>3012</v>
      </c>
      <c r="C1111" s="6" t="s">
        <v>12</v>
      </c>
      <c r="D1111" s="6" t="s">
        <v>2281</v>
      </c>
      <c r="E1111" s="6" t="s">
        <v>2970</v>
      </c>
      <c r="F1111" s="6" t="s">
        <v>3013</v>
      </c>
      <c r="G1111" s="6" t="s">
        <v>16</v>
      </c>
      <c r="H1111" s="5">
        <v>1</v>
      </c>
      <c r="I1111" s="6" t="s">
        <v>3013</v>
      </c>
      <c r="J1111" s="5">
        <v>310</v>
      </c>
    </row>
    <row r="1112" s="2" customFormat="1" ht="27" spans="1:10">
      <c r="A1112" s="6">
        <f>1110</f>
        <v>1110</v>
      </c>
      <c r="B1112" s="6" t="s">
        <v>3014</v>
      </c>
      <c r="C1112" s="6" t="s">
        <v>12</v>
      </c>
      <c r="D1112" s="6" t="s">
        <v>2281</v>
      </c>
      <c r="E1112" s="6" t="s">
        <v>2970</v>
      </c>
      <c r="F1112" s="6" t="s">
        <v>3015</v>
      </c>
      <c r="G1112" s="6" t="s">
        <v>16</v>
      </c>
      <c r="H1112" s="5">
        <v>5</v>
      </c>
      <c r="I1112" s="6" t="s">
        <v>3016</v>
      </c>
      <c r="J1112" s="5">
        <v>2000</v>
      </c>
    </row>
    <row r="1113" s="2" customFormat="1" ht="27" spans="1:10">
      <c r="A1113" s="6">
        <f>1111</f>
        <v>1111</v>
      </c>
      <c r="B1113" s="6" t="s">
        <v>3017</v>
      </c>
      <c r="C1113" s="6" t="s">
        <v>12</v>
      </c>
      <c r="D1113" s="6" t="s">
        <v>2281</v>
      </c>
      <c r="E1113" s="6" t="s">
        <v>2970</v>
      </c>
      <c r="F1113" s="6" t="s">
        <v>3018</v>
      </c>
      <c r="G1113" s="6" t="s">
        <v>16</v>
      </c>
      <c r="H1113" s="5">
        <v>4</v>
      </c>
      <c r="I1113" s="6" t="s">
        <v>3019</v>
      </c>
      <c r="J1113" s="5">
        <v>1214</v>
      </c>
    </row>
    <row r="1114" s="2" customFormat="1" spans="1:10">
      <c r="A1114" s="6">
        <f>1112</f>
        <v>1112</v>
      </c>
      <c r="B1114" s="6" t="s">
        <v>3020</v>
      </c>
      <c r="C1114" s="6" t="s">
        <v>12</v>
      </c>
      <c r="D1114" s="6" t="s">
        <v>2281</v>
      </c>
      <c r="E1114" s="6" t="s">
        <v>2970</v>
      </c>
      <c r="F1114" s="6" t="s">
        <v>3021</v>
      </c>
      <c r="G1114" s="6" t="s">
        <v>16</v>
      </c>
      <c r="H1114" s="5">
        <v>3</v>
      </c>
      <c r="I1114" s="6" t="s">
        <v>3022</v>
      </c>
      <c r="J1114" s="5">
        <v>1620</v>
      </c>
    </row>
    <row r="1115" s="2" customFormat="1" spans="1:10">
      <c r="A1115" s="6">
        <f>1113</f>
        <v>1113</v>
      </c>
      <c r="B1115" s="6" t="s">
        <v>3023</v>
      </c>
      <c r="C1115" s="6" t="s">
        <v>12</v>
      </c>
      <c r="D1115" s="6" t="s">
        <v>2281</v>
      </c>
      <c r="E1115" s="6" t="s">
        <v>2970</v>
      </c>
      <c r="F1115" s="6" t="s">
        <v>3024</v>
      </c>
      <c r="G1115" s="6" t="s">
        <v>16</v>
      </c>
      <c r="H1115" s="5">
        <v>3</v>
      </c>
      <c r="I1115" s="6" t="s">
        <v>3025</v>
      </c>
      <c r="J1115" s="5">
        <v>1170</v>
      </c>
    </row>
    <row r="1116" s="2" customFormat="1" spans="1:10">
      <c r="A1116" s="6">
        <f>1114</f>
        <v>1114</v>
      </c>
      <c r="B1116" s="6" t="s">
        <v>3026</v>
      </c>
      <c r="C1116" s="6" t="s">
        <v>12</v>
      </c>
      <c r="D1116" s="6" t="s">
        <v>2281</v>
      </c>
      <c r="E1116" s="6" t="s">
        <v>2970</v>
      </c>
      <c r="F1116" s="6" t="s">
        <v>3027</v>
      </c>
      <c r="G1116" s="6" t="s">
        <v>16</v>
      </c>
      <c r="H1116" s="5">
        <v>3</v>
      </c>
      <c r="I1116" s="6" t="s">
        <v>3028</v>
      </c>
      <c r="J1116" s="5">
        <v>714</v>
      </c>
    </row>
    <row r="1117" s="2" customFormat="1" ht="27" spans="1:10">
      <c r="A1117" s="6">
        <f>1115</f>
        <v>1115</v>
      </c>
      <c r="B1117" s="6" t="s">
        <v>3029</v>
      </c>
      <c r="C1117" s="6" t="s">
        <v>12</v>
      </c>
      <c r="D1117" s="6" t="s">
        <v>2281</v>
      </c>
      <c r="E1117" s="6" t="s">
        <v>2970</v>
      </c>
      <c r="F1117" s="6" t="s">
        <v>3030</v>
      </c>
      <c r="G1117" s="6" t="s">
        <v>16</v>
      </c>
      <c r="H1117" s="5">
        <v>4</v>
      </c>
      <c r="I1117" s="6" t="s">
        <v>3031</v>
      </c>
      <c r="J1117" s="5">
        <v>1185</v>
      </c>
    </row>
    <row r="1118" s="2" customFormat="1" ht="27" spans="1:10">
      <c r="A1118" s="6">
        <f>1116</f>
        <v>1116</v>
      </c>
      <c r="B1118" s="6" t="s">
        <v>3032</v>
      </c>
      <c r="C1118" s="6" t="s">
        <v>12</v>
      </c>
      <c r="D1118" s="6" t="s">
        <v>2281</v>
      </c>
      <c r="E1118" s="6" t="s">
        <v>2970</v>
      </c>
      <c r="F1118" s="6" t="s">
        <v>3033</v>
      </c>
      <c r="G1118" s="6" t="s">
        <v>16</v>
      </c>
      <c r="H1118" s="5">
        <v>4</v>
      </c>
      <c r="I1118" s="6" t="s">
        <v>3034</v>
      </c>
      <c r="J1118" s="5">
        <v>1012</v>
      </c>
    </row>
    <row r="1119" s="2" customFormat="1" spans="1:10">
      <c r="A1119" s="6">
        <f>1117</f>
        <v>1117</v>
      </c>
      <c r="B1119" s="6" t="s">
        <v>3035</v>
      </c>
      <c r="C1119" s="6" t="s">
        <v>12</v>
      </c>
      <c r="D1119" s="6" t="s">
        <v>2281</v>
      </c>
      <c r="E1119" s="6" t="s">
        <v>2970</v>
      </c>
      <c r="F1119" s="6" t="s">
        <v>3036</v>
      </c>
      <c r="G1119" s="6" t="s">
        <v>16</v>
      </c>
      <c r="H1119" s="5">
        <v>1</v>
      </c>
      <c r="I1119" s="6" t="s">
        <v>3036</v>
      </c>
      <c r="J1119" s="5">
        <v>230</v>
      </c>
    </row>
    <row r="1120" s="2" customFormat="1" spans="1:10">
      <c r="A1120" s="6">
        <f>1118</f>
        <v>1118</v>
      </c>
      <c r="B1120" s="6" t="s">
        <v>3037</v>
      </c>
      <c r="C1120" s="6" t="s">
        <v>12</v>
      </c>
      <c r="D1120" s="6" t="s">
        <v>2281</v>
      </c>
      <c r="E1120" s="6" t="s">
        <v>2970</v>
      </c>
      <c r="F1120" s="6" t="s">
        <v>3038</v>
      </c>
      <c r="G1120" s="6" t="s">
        <v>16</v>
      </c>
      <c r="H1120" s="5">
        <v>3</v>
      </c>
      <c r="I1120" s="6" t="s">
        <v>3039</v>
      </c>
      <c r="J1120" s="5">
        <v>1160</v>
      </c>
    </row>
    <row r="1121" s="2" customFormat="1" spans="1:10">
      <c r="A1121" s="6">
        <f>1119</f>
        <v>1119</v>
      </c>
      <c r="B1121" s="6" t="s">
        <v>3040</v>
      </c>
      <c r="C1121" s="6" t="s">
        <v>12</v>
      </c>
      <c r="D1121" s="6" t="s">
        <v>2281</v>
      </c>
      <c r="E1121" s="6" t="s">
        <v>2970</v>
      </c>
      <c r="F1121" s="6" t="s">
        <v>3041</v>
      </c>
      <c r="G1121" s="6" t="s">
        <v>16</v>
      </c>
      <c r="H1121" s="5">
        <v>3</v>
      </c>
      <c r="I1121" s="6" t="s">
        <v>3042</v>
      </c>
      <c r="J1121" s="5">
        <v>1860</v>
      </c>
    </row>
    <row r="1122" s="2" customFormat="1" spans="1:10">
      <c r="A1122" s="6">
        <f>1120</f>
        <v>1120</v>
      </c>
      <c r="B1122" s="6" t="s">
        <v>3043</v>
      </c>
      <c r="C1122" s="6" t="s">
        <v>12</v>
      </c>
      <c r="D1122" s="6" t="s">
        <v>2281</v>
      </c>
      <c r="E1122" s="6" t="s">
        <v>2970</v>
      </c>
      <c r="F1122" s="6" t="s">
        <v>3044</v>
      </c>
      <c r="G1122" s="6" t="s">
        <v>16</v>
      </c>
      <c r="H1122" s="5">
        <v>1</v>
      </c>
      <c r="I1122" s="6" t="s">
        <v>3044</v>
      </c>
      <c r="J1122" s="5">
        <v>220</v>
      </c>
    </row>
    <row r="1123" s="2" customFormat="1" spans="1:10">
      <c r="A1123" s="6">
        <f>1121</f>
        <v>1121</v>
      </c>
      <c r="B1123" s="6" t="s">
        <v>3045</v>
      </c>
      <c r="C1123" s="6" t="s">
        <v>12</v>
      </c>
      <c r="D1123" s="6" t="s">
        <v>2281</v>
      </c>
      <c r="E1123" s="6" t="s">
        <v>2970</v>
      </c>
      <c r="F1123" s="6" t="s">
        <v>3046</v>
      </c>
      <c r="G1123" s="6" t="s">
        <v>16</v>
      </c>
      <c r="H1123" s="5">
        <v>3</v>
      </c>
      <c r="I1123" s="6" t="s">
        <v>3047</v>
      </c>
      <c r="J1123" s="5">
        <v>1860</v>
      </c>
    </row>
    <row r="1124" s="2" customFormat="1" spans="1:10">
      <c r="A1124" s="6">
        <f>1122</f>
        <v>1122</v>
      </c>
      <c r="B1124" s="6" t="s">
        <v>3048</v>
      </c>
      <c r="C1124" s="6" t="s">
        <v>12</v>
      </c>
      <c r="D1124" s="6" t="s">
        <v>2281</v>
      </c>
      <c r="E1124" s="6" t="s">
        <v>2970</v>
      </c>
      <c r="F1124" s="6" t="s">
        <v>3049</v>
      </c>
      <c r="G1124" s="6" t="s">
        <v>16</v>
      </c>
      <c r="H1124" s="5">
        <v>2</v>
      </c>
      <c r="I1124" s="6" t="s">
        <v>3050</v>
      </c>
      <c r="J1124" s="5">
        <v>400</v>
      </c>
    </row>
    <row r="1125" s="2" customFormat="1" ht="27" spans="1:10">
      <c r="A1125" s="6">
        <f>1123</f>
        <v>1123</v>
      </c>
      <c r="B1125" s="6" t="s">
        <v>3051</v>
      </c>
      <c r="C1125" s="6" t="s">
        <v>12</v>
      </c>
      <c r="D1125" s="6" t="s">
        <v>2281</v>
      </c>
      <c r="E1125" s="6" t="s">
        <v>3052</v>
      </c>
      <c r="F1125" s="6" t="s">
        <v>3053</v>
      </c>
      <c r="G1125" s="6" t="s">
        <v>16</v>
      </c>
      <c r="H1125" s="5">
        <v>4</v>
      </c>
      <c r="I1125" s="6" t="s">
        <v>3054</v>
      </c>
      <c r="J1125" s="5">
        <v>1080</v>
      </c>
    </row>
    <row r="1126" s="2" customFormat="1" spans="1:10">
      <c r="A1126" s="6">
        <f>1124</f>
        <v>1124</v>
      </c>
      <c r="B1126" s="6" t="s">
        <v>3055</v>
      </c>
      <c r="C1126" s="6" t="s">
        <v>12</v>
      </c>
      <c r="D1126" s="6" t="s">
        <v>2281</v>
      </c>
      <c r="E1126" s="6" t="s">
        <v>3052</v>
      </c>
      <c r="F1126" s="6" t="s">
        <v>3056</v>
      </c>
      <c r="G1126" s="6" t="s">
        <v>16</v>
      </c>
      <c r="H1126" s="5">
        <v>3</v>
      </c>
      <c r="I1126" s="6" t="s">
        <v>3057</v>
      </c>
      <c r="J1126" s="5">
        <v>430</v>
      </c>
    </row>
    <row r="1127" s="2" customFormat="1" ht="27" spans="1:10">
      <c r="A1127" s="6">
        <f>1125</f>
        <v>1125</v>
      </c>
      <c r="B1127" s="6" t="s">
        <v>3058</v>
      </c>
      <c r="C1127" s="6" t="s">
        <v>12</v>
      </c>
      <c r="D1127" s="6" t="s">
        <v>2281</v>
      </c>
      <c r="E1127" s="6" t="s">
        <v>3052</v>
      </c>
      <c r="F1127" s="6" t="s">
        <v>3059</v>
      </c>
      <c r="G1127" s="6" t="s">
        <v>16</v>
      </c>
      <c r="H1127" s="5">
        <v>5</v>
      </c>
      <c r="I1127" s="6" t="s">
        <v>3060</v>
      </c>
      <c r="J1127" s="5">
        <v>1400</v>
      </c>
    </row>
    <row r="1128" s="2" customFormat="1" spans="1:10">
      <c r="A1128" s="6">
        <f>1126</f>
        <v>1126</v>
      </c>
      <c r="B1128" s="6" t="s">
        <v>3061</v>
      </c>
      <c r="C1128" s="6" t="s">
        <v>12</v>
      </c>
      <c r="D1128" s="6" t="s">
        <v>2281</v>
      </c>
      <c r="E1128" s="6" t="s">
        <v>3052</v>
      </c>
      <c r="F1128" s="6" t="s">
        <v>3062</v>
      </c>
      <c r="G1128" s="6" t="s">
        <v>16</v>
      </c>
      <c r="H1128" s="5">
        <v>1</v>
      </c>
      <c r="I1128" s="6" t="s">
        <v>3062</v>
      </c>
      <c r="J1128" s="5">
        <v>440</v>
      </c>
    </row>
    <row r="1129" s="2" customFormat="1" spans="1:10">
      <c r="A1129" s="6">
        <f>1127</f>
        <v>1127</v>
      </c>
      <c r="B1129" s="6" t="s">
        <v>3063</v>
      </c>
      <c r="C1129" s="6" t="s">
        <v>12</v>
      </c>
      <c r="D1129" s="6" t="s">
        <v>2281</v>
      </c>
      <c r="E1129" s="6" t="s">
        <v>3052</v>
      </c>
      <c r="F1129" s="6" t="s">
        <v>3064</v>
      </c>
      <c r="G1129" s="6" t="s">
        <v>16</v>
      </c>
      <c r="H1129" s="5">
        <v>1</v>
      </c>
      <c r="I1129" s="6" t="s">
        <v>3064</v>
      </c>
      <c r="J1129" s="5">
        <v>285</v>
      </c>
    </row>
    <row r="1130" s="2" customFormat="1" ht="27" spans="1:10">
      <c r="A1130" s="6">
        <f>1128</f>
        <v>1128</v>
      </c>
      <c r="B1130" s="6" t="s">
        <v>3065</v>
      </c>
      <c r="C1130" s="6" t="s">
        <v>12</v>
      </c>
      <c r="D1130" s="6" t="s">
        <v>2281</v>
      </c>
      <c r="E1130" s="6" t="s">
        <v>3052</v>
      </c>
      <c r="F1130" s="6" t="s">
        <v>3066</v>
      </c>
      <c r="G1130" s="6" t="s">
        <v>16</v>
      </c>
      <c r="H1130" s="5">
        <v>5</v>
      </c>
      <c r="I1130" s="6" t="s">
        <v>3067</v>
      </c>
      <c r="J1130" s="5">
        <v>515</v>
      </c>
    </row>
    <row r="1131" s="2" customFormat="1" ht="27" spans="1:10">
      <c r="A1131" s="6">
        <f>1129</f>
        <v>1129</v>
      </c>
      <c r="B1131" s="6" t="s">
        <v>3068</v>
      </c>
      <c r="C1131" s="6" t="s">
        <v>12</v>
      </c>
      <c r="D1131" s="6" t="s">
        <v>2281</v>
      </c>
      <c r="E1131" s="6" t="s">
        <v>3052</v>
      </c>
      <c r="F1131" s="6" t="s">
        <v>3069</v>
      </c>
      <c r="G1131" s="6" t="s">
        <v>16</v>
      </c>
      <c r="H1131" s="5">
        <v>4</v>
      </c>
      <c r="I1131" s="6" t="s">
        <v>3070</v>
      </c>
      <c r="J1131" s="5">
        <v>960</v>
      </c>
    </row>
    <row r="1132" s="2" customFormat="1" spans="1:10">
      <c r="A1132" s="6">
        <f>1130</f>
        <v>1130</v>
      </c>
      <c r="B1132" s="6" t="s">
        <v>3071</v>
      </c>
      <c r="C1132" s="6" t="s">
        <v>12</v>
      </c>
      <c r="D1132" s="6" t="s">
        <v>2281</v>
      </c>
      <c r="E1132" s="6" t="s">
        <v>3052</v>
      </c>
      <c r="F1132" s="6" t="s">
        <v>3072</v>
      </c>
      <c r="G1132" s="6" t="s">
        <v>16</v>
      </c>
      <c r="H1132" s="5">
        <v>2</v>
      </c>
      <c r="I1132" s="6" t="s">
        <v>3073</v>
      </c>
      <c r="J1132" s="5">
        <v>400</v>
      </c>
    </row>
    <row r="1133" s="2" customFormat="1" spans="1:10">
      <c r="A1133" s="6">
        <f>1131</f>
        <v>1131</v>
      </c>
      <c r="B1133" s="6" t="s">
        <v>3074</v>
      </c>
      <c r="C1133" s="6" t="s">
        <v>12</v>
      </c>
      <c r="D1133" s="6" t="s">
        <v>2281</v>
      </c>
      <c r="E1133" s="6" t="s">
        <v>3052</v>
      </c>
      <c r="F1133" s="6" t="s">
        <v>3075</v>
      </c>
      <c r="G1133" s="6" t="s">
        <v>16</v>
      </c>
      <c r="H1133" s="5">
        <v>1</v>
      </c>
      <c r="I1133" s="6" t="s">
        <v>3075</v>
      </c>
      <c r="J1133" s="5">
        <v>255</v>
      </c>
    </row>
    <row r="1134" s="2" customFormat="1" ht="27" spans="1:10">
      <c r="A1134" s="6">
        <f>1132</f>
        <v>1132</v>
      </c>
      <c r="B1134" s="6" t="s">
        <v>3076</v>
      </c>
      <c r="C1134" s="6" t="s">
        <v>12</v>
      </c>
      <c r="D1134" s="6" t="s">
        <v>2281</v>
      </c>
      <c r="E1134" s="6" t="s">
        <v>3052</v>
      </c>
      <c r="F1134" s="6" t="s">
        <v>3077</v>
      </c>
      <c r="G1134" s="6" t="s">
        <v>16</v>
      </c>
      <c r="H1134" s="5">
        <v>4</v>
      </c>
      <c r="I1134" s="6" t="s">
        <v>3078</v>
      </c>
      <c r="J1134" s="5">
        <v>606</v>
      </c>
    </row>
    <row r="1135" s="2" customFormat="1" ht="27" spans="1:10">
      <c r="A1135" s="6">
        <f>1133</f>
        <v>1133</v>
      </c>
      <c r="B1135" s="6" t="s">
        <v>3079</v>
      </c>
      <c r="C1135" s="6" t="s">
        <v>12</v>
      </c>
      <c r="D1135" s="6" t="s">
        <v>2281</v>
      </c>
      <c r="E1135" s="6" t="s">
        <v>3052</v>
      </c>
      <c r="F1135" s="6" t="s">
        <v>3080</v>
      </c>
      <c r="G1135" s="6" t="s">
        <v>16</v>
      </c>
      <c r="H1135" s="5">
        <v>4</v>
      </c>
      <c r="I1135" s="6" t="s">
        <v>3081</v>
      </c>
      <c r="J1135" s="5">
        <v>640</v>
      </c>
    </row>
    <row r="1136" s="2" customFormat="1" ht="27" spans="1:10">
      <c r="A1136" s="6">
        <f>1134</f>
        <v>1134</v>
      </c>
      <c r="B1136" s="6" t="s">
        <v>3082</v>
      </c>
      <c r="C1136" s="6" t="s">
        <v>12</v>
      </c>
      <c r="D1136" s="6" t="s">
        <v>2281</v>
      </c>
      <c r="E1136" s="6" t="s">
        <v>3052</v>
      </c>
      <c r="F1136" s="6" t="s">
        <v>3083</v>
      </c>
      <c r="G1136" s="6" t="s">
        <v>16</v>
      </c>
      <c r="H1136" s="5">
        <v>4</v>
      </c>
      <c r="I1136" s="6" t="s">
        <v>3084</v>
      </c>
      <c r="J1136" s="5">
        <v>400</v>
      </c>
    </row>
    <row r="1137" s="2" customFormat="1" ht="27" spans="1:10">
      <c r="A1137" s="6">
        <f>1135</f>
        <v>1135</v>
      </c>
      <c r="B1137" s="6" t="s">
        <v>3085</v>
      </c>
      <c r="C1137" s="6" t="s">
        <v>12</v>
      </c>
      <c r="D1137" s="6" t="s">
        <v>2281</v>
      </c>
      <c r="E1137" s="6" t="s">
        <v>3052</v>
      </c>
      <c r="F1137" s="6" t="s">
        <v>3086</v>
      </c>
      <c r="G1137" s="6" t="s">
        <v>16</v>
      </c>
      <c r="H1137" s="5">
        <v>4</v>
      </c>
      <c r="I1137" s="6" t="s">
        <v>3087</v>
      </c>
      <c r="J1137" s="5">
        <v>816</v>
      </c>
    </row>
    <row r="1138" s="2" customFormat="1" ht="27" spans="1:10">
      <c r="A1138" s="6">
        <f>1136</f>
        <v>1136</v>
      </c>
      <c r="B1138" s="6" t="s">
        <v>3088</v>
      </c>
      <c r="C1138" s="6" t="s">
        <v>12</v>
      </c>
      <c r="D1138" s="6" t="s">
        <v>2281</v>
      </c>
      <c r="E1138" s="6" t="s">
        <v>3052</v>
      </c>
      <c r="F1138" s="6" t="s">
        <v>3089</v>
      </c>
      <c r="G1138" s="6" t="s">
        <v>16</v>
      </c>
      <c r="H1138" s="5">
        <v>4</v>
      </c>
      <c r="I1138" s="6" t="s">
        <v>3090</v>
      </c>
      <c r="J1138" s="5">
        <v>540</v>
      </c>
    </row>
    <row r="1139" s="2" customFormat="1" ht="27" spans="1:10">
      <c r="A1139" s="6">
        <f>1137</f>
        <v>1137</v>
      </c>
      <c r="B1139" s="6" t="s">
        <v>3091</v>
      </c>
      <c r="C1139" s="6" t="s">
        <v>12</v>
      </c>
      <c r="D1139" s="6" t="s">
        <v>2281</v>
      </c>
      <c r="E1139" s="6" t="s">
        <v>3052</v>
      </c>
      <c r="F1139" s="6" t="s">
        <v>3092</v>
      </c>
      <c r="G1139" s="6" t="s">
        <v>16</v>
      </c>
      <c r="H1139" s="5">
        <v>4</v>
      </c>
      <c r="I1139" s="6" t="s">
        <v>3093</v>
      </c>
      <c r="J1139" s="5">
        <v>765</v>
      </c>
    </row>
    <row r="1140" s="2" customFormat="1" spans="1:10">
      <c r="A1140" s="6">
        <f>1138</f>
        <v>1138</v>
      </c>
      <c r="B1140" s="6" t="s">
        <v>3094</v>
      </c>
      <c r="C1140" s="6" t="s">
        <v>12</v>
      </c>
      <c r="D1140" s="6" t="s">
        <v>2281</v>
      </c>
      <c r="E1140" s="6" t="s">
        <v>3052</v>
      </c>
      <c r="F1140" s="6" t="s">
        <v>3095</v>
      </c>
      <c r="G1140" s="6" t="s">
        <v>16</v>
      </c>
      <c r="H1140" s="5">
        <v>1</v>
      </c>
      <c r="I1140" s="6" t="s">
        <v>3095</v>
      </c>
      <c r="J1140" s="5">
        <v>240</v>
      </c>
    </row>
    <row r="1141" s="2" customFormat="1" ht="27" spans="1:10">
      <c r="A1141" s="6">
        <f>1139</f>
        <v>1139</v>
      </c>
      <c r="B1141" s="6" t="s">
        <v>3096</v>
      </c>
      <c r="C1141" s="6" t="s">
        <v>12</v>
      </c>
      <c r="D1141" s="6" t="s">
        <v>2281</v>
      </c>
      <c r="E1141" s="6" t="s">
        <v>3052</v>
      </c>
      <c r="F1141" s="6" t="s">
        <v>3097</v>
      </c>
      <c r="G1141" s="6" t="s">
        <v>16</v>
      </c>
      <c r="H1141" s="5">
        <v>4</v>
      </c>
      <c r="I1141" s="6" t="s">
        <v>3098</v>
      </c>
      <c r="J1141" s="5">
        <v>1390</v>
      </c>
    </row>
    <row r="1142" s="2" customFormat="1" spans="1:10">
      <c r="A1142" s="6">
        <f>1140</f>
        <v>1140</v>
      </c>
      <c r="B1142" s="6" t="s">
        <v>3099</v>
      </c>
      <c r="C1142" s="6" t="s">
        <v>12</v>
      </c>
      <c r="D1142" s="6" t="s">
        <v>2281</v>
      </c>
      <c r="E1142" s="6" t="s">
        <v>3052</v>
      </c>
      <c r="F1142" s="6" t="s">
        <v>3100</v>
      </c>
      <c r="G1142" s="6" t="s">
        <v>16</v>
      </c>
      <c r="H1142" s="5">
        <v>1</v>
      </c>
      <c r="I1142" s="6" t="s">
        <v>3100</v>
      </c>
      <c r="J1142" s="5">
        <v>540</v>
      </c>
    </row>
    <row r="1143" s="2" customFormat="1" ht="27" spans="1:10">
      <c r="A1143" s="6">
        <f>1141</f>
        <v>1141</v>
      </c>
      <c r="B1143" s="6" t="s">
        <v>3101</v>
      </c>
      <c r="C1143" s="6" t="s">
        <v>12</v>
      </c>
      <c r="D1143" s="6" t="s">
        <v>2281</v>
      </c>
      <c r="E1143" s="6" t="s">
        <v>3052</v>
      </c>
      <c r="F1143" s="6" t="s">
        <v>3102</v>
      </c>
      <c r="G1143" s="6" t="s">
        <v>16</v>
      </c>
      <c r="H1143" s="5">
        <v>5</v>
      </c>
      <c r="I1143" s="6" t="s">
        <v>3103</v>
      </c>
      <c r="J1143" s="5">
        <v>820</v>
      </c>
    </row>
    <row r="1144" s="2" customFormat="1" spans="1:10">
      <c r="A1144" s="6">
        <f>1142</f>
        <v>1142</v>
      </c>
      <c r="B1144" s="6" t="s">
        <v>3104</v>
      </c>
      <c r="C1144" s="6" t="s">
        <v>12</v>
      </c>
      <c r="D1144" s="6" t="s">
        <v>2281</v>
      </c>
      <c r="E1144" s="6" t="s">
        <v>3052</v>
      </c>
      <c r="F1144" s="6" t="s">
        <v>3105</v>
      </c>
      <c r="G1144" s="6" t="s">
        <v>16</v>
      </c>
      <c r="H1144" s="5">
        <v>2</v>
      </c>
      <c r="I1144" s="6" t="s">
        <v>3106</v>
      </c>
      <c r="J1144" s="5">
        <v>1000</v>
      </c>
    </row>
    <row r="1145" s="2" customFormat="1" spans="1:10">
      <c r="A1145" s="6">
        <f>1143</f>
        <v>1143</v>
      </c>
      <c r="B1145" s="6" t="s">
        <v>3107</v>
      </c>
      <c r="C1145" s="6" t="s">
        <v>12</v>
      </c>
      <c r="D1145" s="6" t="s">
        <v>2281</v>
      </c>
      <c r="E1145" s="6" t="s">
        <v>3052</v>
      </c>
      <c r="F1145" s="6" t="s">
        <v>3108</v>
      </c>
      <c r="G1145" s="6" t="s">
        <v>16</v>
      </c>
      <c r="H1145" s="5">
        <v>3</v>
      </c>
      <c r="I1145" s="6" t="s">
        <v>3109</v>
      </c>
      <c r="J1145" s="5">
        <v>714</v>
      </c>
    </row>
    <row r="1146" s="2" customFormat="1" spans="1:10">
      <c r="A1146" s="6">
        <f>1144</f>
        <v>1144</v>
      </c>
      <c r="B1146" s="6" t="s">
        <v>3110</v>
      </c>
      <c r="C1146" s="6" t="s">
        <v>12</v>
      </c>
      <c r="D1146" s="6" t="s">
        <v>2281</v>
      </c>
      <c r="E1146" s="6" t="s">
        <v>3052</v>
      </c>
      <c r="F1146" s="6" t="s">
        <v>3111</v>
      </c>
      <c r="G1146" s="6" t="s">
        <v>16</v>
      </c>
      <c r="H1146" s="5">
        <v>3</v>
      </c>
      <c r="I1146" s="6" t="s">
        <v>3112</v>
      </c>
      <c r="J1146" s="5">
        <v>460</v>
      </c>
    </row>
    <row r="1147" s="2" customFormat="1" spans="1:10">
      <c r="A1147" s="6">
        <f>1145</f>
        <v>1145</v>
      </c>
      <c r="B1147" s="6" t="s">
        <v>3113</v>
      </c>
      <c r="C1147" s="6" t="s">
        <v>12</v>
      </c>
      <c r="D1147" s="6" t="s">
        <v>2281</v>
      </c>
      <c r="E1147" s="6" t="s">
        <v>3052</v>
      </c>
      <c r="F1147" s="6" t="s">
        <v>3114</v>
      </c>
      <c r="G1147" s="6" t="s">
        <v>16</v>
      </c>
      <c r="H1147" s="5">
        <v>2</v>
      </c>
      <c r="I1147" s="6" t="s">
        <v>3115</v>
      </c>
      <c r="J1147" s="5">
        <v>420</v>
      </c>
    </row>
    <row r="1148" s="2" customFormat="1" spans="1:10">
      <c r="A1148" s="6">
        <f>1146</f>
        <v>1146</v>
      </c>
      <c r="B1148" s="6" t="s">
        <v>3116</v>
      </c>
      <c r="C1148" s="6" t="s">
        <v>12</v>
      </c>
      <c r="D1148" s="6" t="s">
        <v>2281</v>
      </c>
      <c r="E1148" s="6" t="s">
        <v>3052</v>
      </c>
      <c r="F1148" s="6" t="s">
        <v>3117</v>
      </c>
      <c r="G1148" s="6" t="s">
        <v>16</v>
      </c>
      <c r="H1148" s="5">
        <v>1</v>
      </c>
      <c r="I1148" s="6" t="s">
        <v>3117</v>
      </c>
      <c r="J1148" s="5">
        <v>620</v>
      </c>
    </row>
    <row r="1149" s="2" customFormat="1" spans="1:10">
      <c r="A1149" s="6">
        <f>1147</f>
        <v>1147</v>
      </c>
      <c r="B1149" s="6" t="s">
        <v>3118</v>
      </c>
      <c r="C1149" s="6" t="s">
        <v>12</v>
      </c>
      <c r="D1149" s="6" t="s">
        <v>2281</v>
      </c>
      <c r="E1149" s="6" t="s">
        <v>3052</v>
      </c>
      <c r="F1149" s="6" t="s">
        <v>3119</v>
      </c>
      <c r="G1149" s="6" t="s">
        <v>16</v>
      </c>
      <c r="H1149" s="5">
        <v>1</v>
      </c>
      <c r="I1149" s="6" t="s">
        <v>3119</v>
      </c>
      <c r="J1149" s="5">
        <v>287</v>
      </c>
    </row>
    <row r="1150" s="2" customFormat="1" spans="1:10">
      <c r="A1150" s="6">
        <f>1148</f>
        <v>1148</v>
      </c>
      <c r="B1150" s="6" t="s">
        <v>3120</v>
      </c>
      <c r="C1150" s="6" t="s">
        <v>12</v>
      </c>
      <c r="D1150" s="6" t="s">
        <v>2281</v>
      </c>
      <c r="E1150" s="6" t="s">
        <v>3052</v>
      </c>
      <c r="F1150" s="6" t="s">
        <v>3121</v>
      </c>
      <c r="G1150" s="6" t="s">
        <v>16</v>
      </c>
      <c r="H1150" s="5">
        <v>2</v>
      </c>
      <c r="I1150" s="6" t="s">
        <v>3122</v>
      </c>
      <c r="J1150" s="5">
        <v>420</v>
      </c>
    </row>
    <row r="1151" s="2" customFormat="1" spans="1:10">
      <c r="A1151" s="6">
        <f>1149</f>
        <v>1149</v>
      </c>
      <c r="B1151" s="6" t="s">
        <v>3123</v>
      </c>
      <c r="C1151" s="6" t="s">
        <v>12</v>
      </c>
      <c r="D1151" s="6" t="s">
        <v>2281</v>
      </c>
      <c r="E1151" s="6" t="s">
        <v>3052</v>
      </c>
      <c r="F1151" s="6" t="s">
        <v>3124</v>
      </c>
      <c r="G1151" s="6" t="s">
        <v>16</v>
      </c>
      <c r="H1151" s="5">
        <v>3</v>
      </c>
      <c r="I1151" s="6" t="s">
        <v>3125</v>
      </c>
      <c r="J1151" s="5">
        <v>1040</v>
      </c>
    </row>
    <row r="1152" s="2" customFormat="1" spans="1:10">
      <c r="A1152" s="6">
        <f>1150</f>
        <v>1150</v>
      </c>
      <c r="B1152" s="6" t="s">
        <v>3126</v>
      </c>
      <c r="C1152" s="6" t="s">
        <v>12</v>
      </c>
      <c r="D1152" s="6" t="s">
        <v>2281</v>
      </c>
      <c r="E1152" s="6" t="s">
        <v>3052</v>
      </c>
      <c r="F1152" s="6" t="s">
        <v>3127</v>
      </c>
      <c r="G1152" s="6" t="s">
        <v>16</v>
      </c>
      <c r="H1152" s="5">
        <v>3</v>
      </c>
      <c r="I1152" s="6" t="s">
        <v>3128</v>
      </c>
      <c r="J1152" s="5">
        <v>715</v>
      </c>
    </row>
    <row r="1153" s="2" customFormat="1" ht="27" spans="1:10">
      <c r="A1153" s="6">
        <f>1151</f>
        <v>1151</v>
      </c>
      <c r="B1153" s="6" t="s">
        <v>3129</v>
      </c>
      <c r="C1153" s="6" t="s">
        <v>12</v>
      </c>
      <c r="D1153" s="6" t="s">
        <v>2281</v>
      </c>
      <c r="E1153" s="6" t="s">
        <v>3052</v>
      </c>
      <c r="F1153" s="6" t="s">
        <v>2852</v>
      </c>
      <c r="G1153" s="6" t="s">
        <v>16</v>
      </c>
      <c r="H1153" s="5">
        <v>6</v>
      </c>
      <c r="I1153" s="6" t="s">
        <v>3130</v>
      </c>
      <c r="J1153" s="5">
        <v>965</v>
      </c>
    </row>
    <row r="1154" s="2" customFormat="1" spans="1:10">
      <c r="A1154" s="6">
        <f>1152</f>
        <v>1152</v>
      </c>
      <c r="B1154" s="6" t="s">
        <v>3131</v>
      </c>
      <c r="C1154" s="6" t="s">
        <v>12</v>
      </c>
      <c r="D1154" s="6" t="s">
        <v>2281</v>
      </c>
      <c r="E1154" s="6" t="s">
        <v>3052</v>
      </c>
      <c r="F1154" s="6" t="s">
        <v>3132</v>
      </c>
      <c r="G1154" s="6" t="s">
        <v>16</v>
      </c>
      <c r="H1154" s="5">
        <v>1</v>
      </c>
      <c r="I1154" s="6" t="s">
        <v>3132</v>
      </c>
      <c r="J1154" s="5">
        <v>620</v>
      </c>
    </row>
    <row r="1155" s="2" customFormat="1" spans="1:10">
      <c r="A1155" s="6">
        <f>1153</f>
        <v>1153</v>
      </c>
      <c r="B1155" s="6" t="s">
        <v>3133</v>
      </c>
      <c r="C1155" s="6" t="s">
        <v>12</v>
      </c>
      <c r="D1155" s="6" t="s">
        <v>2281</v>
      </c>
      <c r="E1155" s="6" t="s">
        <v>3052</v>
      </c>
      <c r="F1155" s="6" t="s">
        <v>3134</v>
      </c>
      <c r="G1155" s="6" t="s">
        <v>16</v>
      </c>
      <c r="H1155" s="5">
        <v>1</v>
      </c>
      <c r="I1155" s="6" t="s">
        <v>3134</v>
      </c>
      <c r="J1155" s="5">
        <v>620</v>
      </c>
    </row>
    <row r="1156" s="2" customFormat="1" spans="1:10">
      <c r="A1156" s="6">
        <f>1154</f>
        <v>1154</v>
      </c>
      <c r="B1156" s="6" t="s">
        <v>3135</v>
      </c>
      <c r="C1156" s="6" t="s">
        <v>12</v>
      </c>
      <c r="D1156" s="6" t="s">
        <v>2281</v>
      </c>
      <c r="E1156" s="6" t="s">
        <v>3052</v>
      </c>
      <c r="F1156" s="6" t="s">
        <v>3136</v>
      </c>
      <c r="G1156" s="6" t="s">
        <v>16</v>
      </c>
      <c r="H1156" s="5">
        <v>3</v>
      </c>
      <c r="I1156" s="6" t="s">
        <v>3137</v>
      </c>
      <c r="J1156" s="5">
        <v>720</v>
      </c>
    </row>
    <row r="1157" s="2" customFormat="1" spans="1:10">
      <c r="A1157" s="6">
        <f>1155</f>
        <v>1155</v>
      </c>
      <c r="B1157" s="6" t="s">
        <v>3138</v>
      </c>
      <c r="C1157" s="6" t="s">
        <v>12</v>
      </c>
      <c r="D1157" s="6" t="s">
        <v>2281</v>
      </c>
      <c r="E1157" s="6" t="s">
        <v>3052</v>
      </c>
      <c r="F1157" s="6" t="s">
        <v>3139</v>
      </c>
      <c r="G1157" s="6" t="s">
        <v>16</v>
      </c>
      <c r="H1157" s="5">
        <v>2</v>
      </c>
      <c r="I1157" s="6" t="s">
        <v>3140</v>
      </c>
      <c r="J1157" s="5">
        <v>340</v>
      </c>
    </row>
    <row r="1158" s="2" customFormat="1" ht="27" spans="1:10">
      <c r="A1158" s="6">
        <f>1156</f>
        <v>1156</v>
      </c>
      <c r="B1158" s="6" t="s">
        <v>3141</v>
      </c>
      <c r="C1158" s="6" t="s">
        <v>12</v>
      </c>
      <c r="D1158" s="6" t="s">
        <v>2281</v>
      </c>
      <c r="E1158" s="6" t="s">
        <v>3052</v>
      </c>
      <c r="F1158" s="6" t="s">
        <v>3142</v>
      </c>
      <c r="G1158" s="6" t="s">
        <v>16</v>
      </c>
      <c r="H1158" s="5">
        <v>4</v>
      </c>
      <c r="I1158" s="6" t="s">
        <v>3143</v>
      </c>
      <c r="J1158" s="5">
        <v>1140</v>
      </c>
    </row>
    <row r="1159" s="2" customFormat="1" spans="1:10">
      <c r="A1159" s="6">
        <f>1157</f>
        <v>1157</v>
      </c>
      <c r="B1159" s="6" t="s">
        <v>3144</v>
      </c>
      <c r="C1159" s="6" t="s">
        <v>12</v>
      </c>
      <c r="D1159" s="6" t="s">
        <v>2281</v>
      </c>
      <c r="E1159" s="6" t="s">
        <v>3052</v>
      </c>
      <c r="F1159" s="6" t="s">
        <v>3145</v>
      </c>
      <c r="G1159" s="6" t="s">
        <v>16</v>
      </c>
      <c r="H1159" s="5">
        <v>1</v>
      </c>
      <c r="I1159" s="6" t="s">
        <v>3145</v>
      </c>
      <c r="J1159" s="5">
        <v>295</v>
      </c>
    </row>
    <row r="1160" s="2" customFormat="1" spans="1:10">
      <c r="A1160" s="6">
        <f>1158</f>
        <v>1158</v>
      </c>
      <c r="B1160" s="6" t="s">
        <v>3146</v>
      </c>
      <c r="C1160" s="6" t="s">
        <v>12</v>
      </c>
      <c r="D1160" s="6" t="s">
        <v>2281</v>
      </c>
      <c r="E1160" s="6" t="s">
        <v>3052</v>
      </c>
      <c r="F1160" s="6" t="s">
        <v>3147</v>
      </c>
      <c r="G1160" s="6" t="s">
        <v>16</v>
      </c>
      <c r="H1160" s="5">
        <v>1</v>
      </c>
      <c r="I1160" s="6" t="s">
        <v>3147</v>
      </c>
      <c r="J1160" s="5">
        <v>460</v>
      </c>
    </row>
    <row r="1161" s="2" customFormat="1" spans="1:10">
      <c r="A1161" s="6">
        <f>1159</f>
        <v>1159</v>
      </c>
      <c r="B1161" s="6" t="s">
        <v>3148</v>
      </c>
      <c r="C1161" s="6" t="s">
        <v>12</v>
      </c>
      <c r="D1161" s="6" t="s">
        <v>2281</v>
      </c>
      <c r="E1161" s="6" t="s">
        <v>3052</v>
      </c>
      <c r="F1161" s="6" t="s">
        <v>3149</v>
      </c>
      <c r="G1161" s="6" t="s">
        <v>16</v>
      </c>
      <c r="H1161" s="5">
        <v>2</v>
      </c>
      <c r="I1161" s="6" t="s">
        <v>3150</v>
      </c>
      <c r="J1161" s="5">
        <v>750</v>
      </c>
    </row>
    <row r="1162" s="2" customFormat="1" ht="27" spans="1:10">
      <c r="A1162" s="6">
        <f>1160</f>
        <v>1160</v>
      </c>
      <c r="B1162" s="6" t="s">
        <v>3151</v>
      </c>
      <c r="C1162" s="6" t="s">
        <v>12</v>
      </c>
      <c r="D1162" s="6" t="s">
        <v>2281</v>
      </c>
      <c r="E1162" s="6" t="s">
        <v>3052</v>
      </c>
      <c r="F1162" s="6" t="s">
        <v>3152</v>
      </c>
      <c r="G1162" s="6" t="s">
        <v>16</v>
      </c>
      <c r="H1162" s="5">
        <v>4</v>
      </c>
      <c r="I1162" s="6" t="s">
        <v>3153</v>
      </c>
      <c r="J1162" s="5">
        <v>780</v>
      </c>
    </row>
    <row r="1163" s="2" customFormat="1" spans="1:10">
      <c r="A1163" s="6">
        <f>1161</f>
        <v>1161</v>
      </c>
      <c r="B1163" s="6" t="s">
        <v>3154</v>
      </c>
      <c r="C1163" s="6" t="s">
        <v>12</v>
      </c>
      <c r="D1163" s="6" t="s">
        <v>2281</v>
      </c>
      <c r="E1163" s="6" t="s">
        <v>3052</v>
      </c>
      <c r="F1163" s="6" t="s">
        <v>234</v>
      </c>
      <c r="G1163" s="6" t="s">
        <v>16</v>
      </c>
      <c r="H1163" s="5">
        <v>1</v>
      </c>
      <c r="I1163" s="6" t="s">
        <v>234</v>
      </c>
      <c r="J1163" s="5">
        <v>340</v>
      </c>
    </row>
    <row r="1164" s="2" customFormat="1" spans="1:10">
      <c r="A1164" s="6">
        <f>1162</f>
        <v>1162</v>
      </c>
      <c r="B1164" s="6" t="s">
        <v>3155</v>
      </c>
      <c r="C1164" s="6" t="s">
        <v>12</v>
      </c>
      <c r="D1164" s="6" t="s">
        <v>2281</v>
      </c>
      <c r="E1164" s="6" t="s">
        <v>3052</v>
      </c>
      <c r="F1164" s="6" t="s">
        <v>3156</v>
      </c>
      <c r="G1164" s="6" t="s">
        <v>16</v>
      </c>
      <c r="H1164" s="5">
        <v>2</v>
      </c>
      <c r="I1164" s="6" t="s">
        <v>3157</v>
      </c>
      <c r="J1164" s="5">
        <v>440</v>
      </c>
    </row>
    <row r="1165" s="2" customFormat="1" ht="27" spans="1:10">
      <c r="A1165" s="6">
        <f>1163</f>
        <v>1163</v>
      </c>
      <c r="B1165" s="6" t="s">
        <v>3158</v>
      </c>
      <c r="C1165" s="6" t="s">
        <v>12</v>
      </c>
      <c r="D1165" s="6" t="s">
        <v>2281</v>
      </c>
      <c r="E1165" s="6" t="s">
        <v>3052</v>
      </c>
      <c r="F1165" s="6" t="s">
        <v>3159</v>
      </c>
      <c r="G1165" s="6" t="s">
        <v>16</v>
      </c>
      <c r="H1165" s="5">
        <v>4</v>
      </c>
      <c r="I1165" s="6" t="s">
        <v>3160</v>
      </c>
      <c r="J1165" s="5">
        <v>960</v>
      </c>
    </row>
    <row r="1166" s="2" customFormat="1" spans="1:10">
      <c r="A1166" s="6">
        <f>1164</f>
        <v>1164</v>
      </c>
      <c r="B1166" s="6" t="s">
        <v>3161</v>
      </c>
      <c r="C1166" s="6" t="s">
        <v>12</v>
      </c>
      <c r="D1166" s="6" t="s">
        <v>2281</v>
      </c>
      <c r="E1166" s="6" t="s">
        <v>3052</v>
      </c>
      <c r="F1166" s="6" t="s">
        <v>3162</v>
      </c>
      <c r="G1166" s="6" t="s">
        <v>16</v>
      </c>
      <c r="H1166" s="5">
        <v>2</v>
      </c>
      <c r="I1166" s="6" t="s">
        <v>3163</v>
      </c>
      <c r="J1166" s="5">
        <v>980</v>
      </c>
    </row>
    <row r="1167" s="2" customFormat="1" spans="1:10">
      <c r="A1167" s="6">
        <f>1165</f>
        <v>1165</v>
      </c>
      <c r="B1167" s="6" t="s">
        <v>3164</v>
      </c>
      <c r="C1167" s="6" t="s">
        <v>12</v>
      </c>
      <c r="D1167" s="6" t="s">
        <v>2281</v>
      </c>
      <c r="E1167" s="6" t="s">
        <v>3052</v>
      </c>
      <c r="F1167" s="6" t="s">
        <v>3165</v>
      </c>
      <c r="G1167" s="6" t="s">
        <v>16</v>
      </c>
      <c r="H1167" s="5">
        <v>1</v>
      </c>
      <c r="I1167" s="6" t="s">
        <v>3165</v>
      </c>
      <c r="J1167" s="5">
        <v>360</v>
      </c>
    </row>
    <row r="1168" s="2" customFormat="1" spans="1:10">
      <c r="A1168" s="6">
        <f>1166</f>
        <v>1166</v>
      </c>
      <c r="B1168" s="6" t="s">
        <v>3166</v>
      </c>
      <c r="C1168" s="6" t="s">
        <v>12</v>
      </c>
      <c r="D1168" s="6" t="s">
        <v>2281</v>
      </c>
      <c r="E1168" s="6" t="s">
        <v>3052</v>
      </c>
      <c r="F1168" s="6" t="s">
        <v>3167</v>
      </c>
      <c r="G1168" s="6" t="s">
        <v>16</v>
      </c>
      <c r="H1168" s="5">
        <v>2</v>
      </c>
      <c r="I1168" s="6" t="s">
        <v>3168</v>
      </c>
      <c r="J1168" s="5">
        <v>800</v>
      </c>
    </row>
    <row r="1169" s="2" customFormat="1" ht="27" spans="1:10">
      <c r="A1169" s="6">
        <f>1167</f>
        <v>1167</v>
      </c>
      <c r="B1169" s="6" t="s">
        <v>3169</v>
      </c>
      <c r="C1169" s="6" t="s">
        <v>12</v>
      </c>
      <c r="D1169" s="6" t="s">
        <v>2281</v>
      </c>
      <c r="E1169" s="6" t="s">
        <v>3052</v>
      </c>
      <c r="F1169" s="6" t="s">
        <v>3170</v>
      </c>
      <c r="G1169" s="6" t="s">
        <v>16</v>
      </c>
      <c r="H1169" s="5">
        <v>5</v>
      </c>
      <c r="I1169" s="6" t="s">
        <v>3171</v>
      </c>
      <c r="J1169" s="5">
        <v>850</v>
      </c>
    </row>
    <row r="1170" s="2" customFormat="1" spans="1:10">
      <c r="A1170" s="6">
        <f>1168</f>
        <v>1168</v>
      </c>
      <c r="B1170" s="6" t="s">
        <v>3172</v>
      </c>
      <c r="C1170" s="6" t="s">
        <v>12</v>
      </c>
      <c r="D1170" s="6" t="s">
        <v>2281</v>
      </c>
      <c r="E1170" s="6" t="s">
        <v>3052</v>
      </c>
      <c r="F1170" s="6" t="s">
        <v>3173</v>
      </c>
      <c r="G1170" s="6" t="s">
        <v>16</v>
      </c>
      <c r="H1170" s="5">
        <v>3</v>
      </c>
      <c r="I1170" s="6" t="s">
        <v>3174</v>
      </c>
      <c r="J1170" s="5">
        <v>855</v>
      </c>
    </row>
    <row r="1171" s="2" customFormat="1" spans="1:10">
      <c r="A1171" s="6">
        <f>1169</f>
        <v>1169</v>
      </c>
      <c r="B1171" s="6" t="s">
        <v>3175</v>
      </c>
      <c r="C1171" s="6" t="s">
        <v>12</v>
      </c>
      <c r="D1171" s="6" t="s">
        <v>2281</v>
      </c>
      <c r="E1171" s="6" t="s">
        <v>3052</v>
      </c>
      <c r="F1171" s="6" t="s">
        <v>3176</v>
      </c>
      <c r="G1171" s="6" t="s">
        <v>16</v>
      </c>
      <c r="H1171" s="5">
        <v>1</v>
      </c>
      <c r="I1171" s="6" t="s">
        <v>3176</v>
      </c>
      <c r="J1171" s="5">
        <v>620</v>
      </c>
    </row>
    <row r="1172" s="2" customFormat="1" spans="1:10">
      <c r="A1172" s="6">
        <f>1170</f>
        <v>1170</v>
      </c>
      <c r="B1172" s="6" t="s">
        <v>3177</v>
      </c>
      <c r="C1172" s="6" t="s">
        <v>12</v>
      </c>
      <c r="D1172" s="6" t="s">
        <v>2281</v>
      </c>
      <c r="E1172" s="6" t="s">
        <v>3052</v>
      </c>
      <c r="F1172" s="6" t="s">
        <v>3178</v>
      </c>
      <c r="G1172" s="6" t="s">
        <v>16</v>
      </c>
      <c r="H1172" s="5">
        <v>2</v>
      </c>
      <c r="I1172" s="6" t="s">
        <v>3179</v>
      </c>
      <c r="J1172" s="5">
        <v>460</v>
      </c>
    </row>
    <row r="1173" s="2" customFormat="1" ht="27" spans="1:10">
      <c r="A1173" s="6">
        <f>1171</f>
        <v>1171</v>
      </c>
      <c r="B1173" s="6" t="s">
        <v>3180</v>
      </c>
      <c r="C1173" s="6" t="s">
        <v>12</v>
      </c>
      <c r="D1173" s="6" t="s">
        <v>2281</v>
      </c>
      <c r="E1173" s="6" t="s">
        <v>3052</v>
      </c>
      <c r="F1173" s="6" t="s">
        <v>3181</v>
      </c>
      <c r="G1173" s="6" t="s">
        <v>16</v>
      </c>
      <c r="H1173" s="5">
        <v>6</v>
      </c>
      <c r="I1173" s="6" t="s">
        <v>3182</v>
      </c>
      <c r="J1173" s="5">
        <v>810</v>
      </c>
    </row>
    <row r="1174" s="2" customFormat="1" spans="1:10">
      <c r="A1174" s="6">
        <f>1172</f>
        <v>1172</v>
      </c>
      <c r="B1174" s="6" t="s">
        <v>3183</v>
      </c>
      <c r="C1174" s="6" t="s">
        <v>12</v>
      </c>
      <c r="D1174" s="6" t="s">
        <v>2281</v>
      </c>
      <c r="E1174" s="6" t="s">
        <v>3052</v>
      </c>
      <c r="F1174" s="6" t="s">
        <v>3184</v>
      </c>
      <c r="G1174" s="6" t="s">
        <v>16</v>
      </c>
      <c r="H1174" s="5">
        <v>1</v>
      </c>
      <c r="I1174" s="6" t="s">
        <v>3184</v>
      </c>
      <c r="J1174" s="5">
        <v>305</v>
      </c>
    </row>
    <row r="1175" s="2" customFormat="1" spans="1:10">
      <c r="A1175" s="6">
        <f>1173</f>
        <v>1173</v>
      </c>
      <c r="B1175" s="6" t="s">
        <v>3185</v>
      </c>
      <c r="C1175" s="6" t="s">
        <v>12</v>
      </c>
      <c r="D1175" s="6" t="s">
        <v>2281</v>
      </c>
      <c r="E1175" s="6" t="s">
        <v>3052</v>
      </c>
      <c r="F1175" s="6" t="s">
        <v>3186</v>
      </c>
      <c r="G1175" s="6" t="s">
        <v>16</v>
      </c>
      <c r="H1175" s="5">
        <v>2</v>
      </c>
      <c r="I1175" s="6" t="s">
        <v>3187</v>
      </c>
      <c r="J1175" s="5">
        <v>550</v>
      </c>
    </row>
    <row r="1176" s="2" customFormat="1" ht="27" spans="1:10">
      <c r="A1176" s="6">
        <f>1174</f>
        <v>1174</v>
      </c>
      <c r="B1176" s="6" t="s">
        <v>3188</v>
      </c>
      <c r="C1176" s="6" t="s">
        <v>12</v>
      </c>
      <c r="D1176" s="6" t="s">
        <v>2281</v>
      </c>
      <c r="E1176" s="6" t="s">
        <v>3052</v>
      </c>
      <c r="F1176" s="6" t="s">
        <v>3189</v>
      </c>
      <c r="G1176" s="6" t="s">
        <v>16</v>
      </c>
      <c r="H1176" s="5">
        <v>4</v>
      </c>
      <c r="I1176" s="6" t="s">
        <v>3190</v>
      </c>
      <c r="J1176" s="5">
        <v>1068</v>
      </c>
    </row>
    <row r="1177" s="2" customFormat="1" spans="1:10">
      <c r="A1177" s="6">
        <f>1175</f>
        <v>1175</v>
      </c>
      <c r="B1177" s="6" t="s">
        <v>3191</v>
      </c>
      <c r="C1177" s="6" t="s">
        <v>12</v>
      </c>
      <c r="D1177" s="6" t="s">
        <v>2281</v>
      </c>
      <c r="E1177" s="6" t="s">
        <v>3052</v>
      </c>
      <c r="F1177" s="6" t="s">
        <v>3192</v>
      </c>
      <c r="G1177" s="6" t="s">
        <v>16</v>
      </c>
      <c r="H1177" s="5">
        <v>1</v>
      </c>
      <c r="I1177" s="6" t="s">
        <v>3192</v>
      </c>
      <c r="J1177" s="5">
        <v>370</v>
      </c>
    </row>
    <row r="1178" s="2" customFormat="1" spans="1:10">
      <c r="A1178" s="6">
        <f>1176</f>
        <v>1176</v>
      </c>
      <c r="B1178" s="6" t="s">
        <v>3193</v>
      </c>
      <c r="C1178" s="6" t="s">
        <v>12</v>
      </c>
      <c r="D1178" s="6" t="s">
        <v>2281</v>
      </c>
      <c r="E1178" s="6" t="s">
        <v>3052</v>
      </c>
      <c r="F1178" s="6" t="s">
        <v>3194</v>
      </c>
      <c r="G1178" s="6" t="s">
        <v>16</v>
      </c>
      <c r="H1178" s="5">
        <v>1</v>
      </c>
      <c r="I1178" s="6" t="s">
        <v>3194</v>
      </c>
      <c r="J1178" s="5">
        <v>377</v>
      </c>
    </row>
    <row r="1179" s="2" customFormat="1" ht="27" spans="1:10">
      <c r="A1179" s="6">
        <f>1177</f>
        <v>1177</v>
      </c>
      <c r="B1179" s="6" t="s">
        <v>3195</v>
      </c>
      <c r="C1179" s="6" t="s">
        <v>12</v>
      </c>
      <c r="D1179" s="6" t="s">
        <v>2281</v>
      </c>
      <c r="E1179" s="6" t="s">
        <v>3052</v>
      </c>
      <c r="F1179" s="6" t="s">
        <v>3196</v>
      </c>
      <c r="G1179" s="6" t="s">
        <v>16</v>
      </c>
      <c r="H1179" s="5">
        <v>4</v>
      </c>
      <c r="I1179" s="6" t="s">
        <v>3197</v>
      </c>
      <c r="J1179" s="5">
        <v>887</v>
      </c>
    </row>
    <row r="1180" s="2" customFormat="1" spans="1:10">
      <c r="A1180" s="6">
        <f>1178</f>
        <v>1178</v>
      </c>
      <c r="B1180" s="6" t="s">
        <v>3198</v>
      </c>
      <c r="C1180" s="6" t="s">
        <v>12</v>
      </c>
      <c r="D1180" s="6" t="s">
        <v>2281</v>
      </c>
      <c r="E1180" s="6" t="s">
        <v>3052</v>
      </c>
      <c r="F1180" s="6" t="s">
        <v>3199</v>
      </c>
      <c r="G1180" s="6" t="s">
        <v>16</v>
      </c>
      <c r="H1180" s="5">
        <v>1</v>
      </c>
      <c r="I1180" s="6" t="s">
        <v>3199</v>
      </c>
      <c r="J1180" s="5">
        <v>275</v>
      </c>
    </row>
    <row r="1181" s="2" customFormat="1" spans="1:10">
      <c r="A1181" s="6">
        <f>1179</f>
        <v>1179</v>
      </c>
      <c r="B1181" s="6" t="s">
        <v>3200</v>
      </c>
      <c r="C1181" s="6" t="s">
        <v>12</v>
      </c>
      <c r="D1181" s="6" t="s">
        <v>2281</v>
      </c>
      <c r="E1181" s="6" t="s">
        <v>3052</v>
      </c>
      <c r="F1181" s="6" t="s">
        <v>3201</v>
      </c>
      <c r="G1181" s="6" t="s">
        <v>16</v>
      </c>
      <c r="H1181" s="5">
        <v>2</v>
      </c>
      <c r="I1181" s="6" t="s">
        <v>3202</v>
      </c>
      <c r="J1181" s="5">
        <v>385</v>
      </c>
    </row>
    <row r="1182" s="2" customFormat="1" ht="27" spans="1:10">
      <c r="A1182" s="6">
        <f>1180</f>
        <v>1180</v>
      </c>
      <c r="B1182" s="6" t="s">
        <v>3203</v>
      </c>
      <c r="C1182" s="6" t="s">
        <v>12</v>
      </c>
      <c r="D1182" s="6" t="s">
        <v>2281</v>
      </c>
      <c r="E1182" s="6" t="s">
        <v>3052</v>
      </c>
      <c r="F1182" s="6" t="s">
        <v>3204</v>
      </c>
      <c r="G1182" s="6" t="s">
        <v>16</v>
      </c>
      <c r="H1182" s="5">
        <v>4</v>
      </c>
      <c r="I1182" s="6" t="s">
        <v>3205</v>
      </c>
      <c r="J1182" s="5">
        <v>825</v>
      </c>
    </row>
    <row r="1183" s="2" customFormat="1" spans="1:10">
      <c r="A1183" s="6">
        <f>1181</f>
        <v>1181</v>
      </c>
      <c r="B1183" s="6" t="s">
        <v>3206</v>
      </c>
      <c r="C1183" s="6" t="s">
        <v>12</v>
      </c>
      <c r="D1183" s="6" t="s">
        <v>2281</v>
      </c>
      <c r="E1183" s="6" t="s">
        <v>3052</v>
      </c>
      <c r="F1183" s="6" t="s">
        <v>3207</v>
      </c>
      <c r="G1183" s="6" t="s">
        <v>16</v>
      </c>
      <c r="H1183" s="5">
        <v>1</v>
      </c>
      <c r="I1183" s="6" t="s">
        <v>3207</v>
      </c>
      <c r="J1183" s="5">
        <v>205</v>
      </c>
    </row>
    <row r="1184" s="2" customFormat="1" ht="27" spans="1:10">
      <c r="A1184" s="6">
        <f>1182</f>
        <v>1182</v>
      </c>
      <c r="B1184" s="6" t="s">
        <v>3208</v>
      </c>
      <c r="C1184" s="6" t="s">
        <v>12</v>
      </c>
      <c r="D1184" s="6" t="s">
        <v>2281</v>
      </c>
      <c r="E1184" s="6" t="s">
        <v>3052</v>
      </c>
      <c r="F1184" s="6" t="s">
        <v>3209</v>
      </c>
      <c r="G1184" s="6" t="s">
        <v>16</v>
      </c>
      <c r="H1184" s="5">
        <v>5</v>
      </c>
      <c r="I1184" s="6" t="s">
        <v>3210</v>
      </c>
      <c r="J1184" s="5">
        <v>1380</v>
      </c>
    </row>
    <row r="1185" s="2" customFormat="1" spans="1:10">
      <c r="A1185" s="6">
        <f>1183</f>
        <v>1183</v>
      </c>
      <c r="B1185" s="6" t="s">
        <v>3211</v>
      </c>
      <c r="C1185" s="6" t="s">
        <v>12</v>
      </c>
      <c r="D1185" s="6" t="s">
        <v>2281</v>
      </c>
      <c r="E1185" s="6" t="s">
        <v>3052</v>
      </c>
      <c r="F1185" s="6" t="s">
        <v>3212</v>
      </c>
      <c r="G1185" s="6" t="s">
        <v>16</v>
      </c>
      <c r="H1185" s="5">
        <v>2</v>
      </c>
      <c r="I1185" s="6" t="s">
        <v>3213</v>
      </c>
      <c r="J1185" s="5">
        <v>496</v>
      </c>
    </row>
    <row r="1186" s="2" customFormat="1" spans="1:10">
      <c r="A1186" s="6">
        <f>1184</f>
        <v>1184</v>
      </c>
      <c r="B1186" s="6" t="s">
        <v>3214</v>
      </c>
      <c r="C1186" s="6" t="s">
        <v>12</v>
      </c>
      <c r="D1186" s="6" t="s">
        <v>2281</v>
      </c>
      <c r="E1186" s="6" t="s">
        <v>3052</v>
      </c>
      <c r="F1186" s="6" t="s">
        <v>3215</v>
      </c>
      <c r="G1186" s="6" t="s">
        <v>16</v>
      </c>
      <c r="H1186" s="5">
        <v>1</v>
      </c>
      <c r="I1186" s="6" t="s">
        <v>3215</v>
      </c>
      <c r="J1186" s="5">
        <v>248</v>
      </c>
    </row>
    <row r="1187" s="2" customFormat="1" spans="1:10">
      <c r="A1187" s="6">
        <f>1185</f>
        <v>1185</v>
      </c>
      <c r="B1187" s="6" t="s">
        <v>3216</v>
      </c>
      <c r="C1187" s="6" t="s">
        <v>12</v>
      </c>
      <c r="D1187" s="6" t="s">
        <v>2281</v>
      </c>
      <c r="E1187" s="6" t="s">
        <v>3052</v>
      </c>
      <c r="F1187" s="6" t="s">
        <v>3217</v>
      </c>
      <c r="G1187" s="6" t="s">
        <v>16</v>
      </c>
      <c r="H1187" s="5">
        <v>3</v>
      </c>
      <c r="I1187" s="6" t="s">
        <v>3218</v>
      </c>
      <c r="J1187" s="5">
        <v>368</v>
      </c>
    </row>
    <row r="1188" s="2" customFormat="1" spans="1:10">
      <c r="A1188" s="6">
        <f>1186</f>
        <v>1186</v>
      </c>
      <c r="B1188" s="6" t="s">
        <v>3219</v>
      </c>
      <c r="C1188" s="6" t="s">
        <v>12</v>
      </c>
      <c r="D1188" s="6" t="s">
        <v>2281</v>
      </c>
      <c r="E1188" s="6" t="s">
        <v>3052</v>
      </c>
      <c r="F1188" s="6" t="s">
        <v>3220</v>
      </c>
      <c r="G1188" s="6" t="s">
        <v>16</v>
      </c>
      <c r="H1188" s="5">
        <v>1</v>
      </c>
      <c r="I1188" s="6" t="s">
        <v>3220</v>
      </c>
      <c r="J1188" s="5">
        <v>370</v>
      </c>
    </row>
    <row r="1189" s="2" customFormat="1" spans="1:10">
      <c r="A1189" s="6">
        <f>1187</f>
        <v>1187</v>
      </c>
      <c r="B1189" s="6" t="s">
        <v>3221</v>
      </c>
      <c r="C1189" s="6" t="s">
        <v>12</v>
      </c>
      <c r="D1189" s="6" t="s">
        <v>2281</v>
      </c>
      <c r="E1189" s="6" t="s">
        <v>3052</v>
      </c>
      <c r="F1189" s="6" t="s">
        <v>3222</v>
      </c>
      <c r="G1189" s="6" t="s">
        <v>16</v>
      </c>
      <c r="H1189" s="5">
        <v>2</v>
      </c>
      <c r="I1189" s="6" t="s">
        <v>3223</v>
      </c>
      <c r="J1189" s="5">
        <v>589</v>
      </c>
    </row>
    <row r="1190" s="2" customFormat="1" ht="27" spans="1:10">
      <c r="A1190" s="6">
        <f>1188</f>
        <v>1188</v>
      </c>
      <c r="B1190" s="6" t="s">
        <v>3224</v>
      </c>
      <c r="C1190" s="6" t="s">
        <v>12</v>
      </c>
      <c r="D1190" s="6" t="s">
        <v>2281</v>
      </c>
      <c r="E1190" s="6" t="s">
        <v>3052</v>
      </c>
      <c r="F1190" s="6" t="s">
        <v>3225</v>
      </c>
      <c r="G1190" s="6" t="s">
        <v>16</v>
      </c>
      <c r="H1190" s="5">
        <v>6</v>
      </c>
      <c r="I1190" s="6" t="s">
        <v>3226</v>
      </c>
      <c r="J1190" s="5">
        <v>1872</v>
      </c>
    </row>
    <row r="1191" s="2" customFormat="1" ht="27" spans="1:10">
      <c r="A1191" s="6">
        <f>1189</f>
        <v>1189</v>
      </c>
      <c r="B1191" s="6" t="s">
        <v>3227</v>
      </c>
      <c r="C1191" s="6" t="s">
        <v>12</v>
      </c>
      <c r="D1191" s="6" t="s">
        <v>2281</v>
      </c>
      <c r="E1191" s="6" t="s">
        <v>3052</v>
      </c>
      <c r="F1191" s="6" t="s">
        <v>3228</v>
      </c>
      <c r="G1191" s="6" t="s">
        <v>16</v>
      </c>
      <c r="H1191" s="5">
        <v>5</v>
      </c>
      <c r="I1191" s="6" t="s">
        <v>3229</v>
      </c>
      <c r="J1191" s="5">
        <v>930</v>
      </c>
    </row>
    <row r="1192" s="2" customFormat="1" spans="1:10">
      <c r="A1192" s="6">
        <f>1190</f>
        <v>1190</v>
      </c>
      <c r="B1192" s="6" t="s">
        <v>3230</v>
      </c>
      <c r="C1192" s="6" t="s">
        <v>12</v>
      </c>
      <c r="D1192" s="6" t="s">
        <v>2281</v>
      </c>
      <c r="E1192" s="6" t="s">
        <v>3052</v>
      </c>
      <c r="F1192" s="6" t="s">
        <v>3231</v>
      </c>
      <c r="G1192" s="6" t="s">
        <v>16</v>
      </c>
      <c r="H1192" s="5">
        <v>1</v>
      </c>
      <c r="I1192" s="6" t="s">
        <v>3231</v>
      </c>
      <c r="J1192" s="5">
        <v>340</v>
      </c>
    </row>
    <row r="1193" s="2" customFormat="1" ht="27" spans="1:10">
      <c r="A1193" s="6">
        <f>1191</f>
        <v>1191</v>
      </c>
      <c r="B1193" s="6" t="s">
        <v>3232</v>
      </c>
      <c r="C1193" s="6" t="s">
        <v>12</v>
      </c>
      <c r="D1193" s="6" t="s">
        <v>2281</v>
      </c>
      <c r="E1193" s="6" t="s">
        <v>3052</v>
      </c>
      <c r="F1193" s="6" t="s">
        <v>3233</v>
      </c>
      <c r="G1193" s="6" t="s">
        <v>16</v>
      </c>
      <c r="H1193" s="5">
        <v>4</v>
      </c>
      <c r="I1193" s="6" t="s">
        <v>3234</v>
      </c>
      <c r="J1193" s="5">
        <v>980</v>
      </c>
    </row>
    <row r="1194" s="2" customFormat="1" spans="1:10">
      <c r="A1194" s="6">
        <f>1192</f>
        <v>1192</v>
      </c>
      <c r="B1194" s="6" t="s">
        <v>3235</v>
      </c>
      <c r="C1194" s="6" t="s">
        <v>12</v>
      </c>
      <c r="D1194" s="6" t="s">
        <v>2281</v>
      </c>
      <c r="E1194" s="6" t="s">
        <v>3052</v>
      </c>
      <c r="F1194" s="6" t="s">
        <v>3236</v>
      </c>
      <c r="G1194" s="6" t="s">
        <v>16</v>
      </c>
      <c r="H1194" s="5">
        <v>2</v>
      </c>
      <c r="I1194" s="6" t="s">
        <v>3237</v>
      </c>
      <c r="J1194" s="5">
        <v>440</v>
      </c>
    </row>
    <row r="1195" s="2" customFormat="1" ht="27" spans="1:10">
      <c r="A1195" s="6">
        <f>1193</f>
        <v>1193</v>
      </c>
      <c r="B1195" s="6" t="s">
        <v>3238</v>
      </c>
      <c r="C1195" s="6" t="s">
        <v>12</v>
      </c>
      <c r="D1195" s="6" t="s">
        <v>2281</v>
      </c>
      <c r="E1195" s="6" t="s">
        <v>3052</v>
      </c>
      <c r="F1195" s="6" t="s">
        <v>3239</v>
      </c>
      <c r="G1195" s="6" t="s">
        <v>16</v>
      </c>
      <c r="H1195" s="5">
        <v>6</v>
      </c>
      <c r="I1195" s="6" t="s">
        <v>3240</v>
      </c>
      <c r="J1195" s="5">
        <v>900</v>
      </c>
    </row>
    <row r="1196" s="2" customFormat="1" spans="1:10">
      <c r="A1196" s="6">
        <f>1194</f>
        <v>1194</v>
      </c>
      <c r="B1196" s="6" t="s">
        <v>3241</v>
      </c>
      <c r="C1196" s="6" t="s">
        <v>12</v>
      </c>
      <c r="D1196" s="6" t="s">
        <v>2281</v>
      </c>
      <c r="E1196" s="6" t="s">
        <v>3052</v>
      </c>
      <c r="F1196" s="6" t="s">
        <v>3242</v>
      </c>
      <c r="G1196" s="6" t="s">
        <v>16</v>
      </c>
      <c r="H1196" s="5">
        <v>2</v>
      </c>
      <c r="I1196" s="6" t="s">
        <v>3243</v>
      </c>
      <c r="J1196" s="5">
        <v>677</v>
      </c>
    </row>
    <row r="1197" s="2" customFormat="1" spans="1:10">
      <c r="A1197" s="6">
        <f>1195</f>
        <v>1195</v>
      </c>
      <c r="B1197" s="6" t="s">
        <v>3244</v>
      </c>
      <c r="C1197" s="6" t="s">
        <v>12</v>
      </c>
      <c r="D1197" s="6" t="s">
        <v>2281</v>
      </c>
      <c r="E1197" s="6" t="s">
        <v>3052</v>
      </c>
      <c r="F1197" s="6" t="s">
        <v>3245</v>
      </c>
      <c r="G1197" s="6" t="s">
        <v>16</v>
      </c>
      <c r="H1197" s="5">
        <v>1</v>
      </c>
      <c r="I1197" s="6" t="s">
        <v>3245</v>
      </c>
      <c r="J1197" s="5">
        <v>307</v>
      </c>
    </row>
    <row r="1198" s="2" customFormat="1" spans="1:10">
      <c r="A1198" s="6">
        <f>1196</f>
        <v>1196</v>
      </c>
      <c r="B1198" s="6" t="s">
        <v>3246</v>
      </c>
      <c r="C1198" s="6" t="s">
        <v>12</v>
      </c>
      <c r="D1198" s="6" t="s">
        <v>2281</v>
      </c>
      <c r="E1198" s="6" t="s">
        <v>3052</v>
      </c>
      <c r="F1198" s="6" t="s">
        <v>3247</v>
      </c>
      <c r="G1198" s="6" t="s">
        <v>16</v>
      </c>
      <c r="H1198" s="5">
        <v>2</v>
      </c>
      <c r="I1198" s="6" t="s">
        <v>3248</v>
      </c>
      <c r="J1198" s="5">
        <v>375</v>
      </c>
    </row>
    <row r="1199" s="2" customFormat="1" spans="1:10">
      <c r="A1199" s="6">
        <f>1197</f>
        <v>1197</v>
      </c>
      <c r="B1199" s="6" t="s">
        <v>3249</v>
      </c>
      <c r="C1199" s="6" t="s">
        <v>12</v>
      </c>
      <c r="D1199" s="6" t="s">
        <v>2281</v>
      </c>
      <c r="E1199" s="6" t="s">
        <v>3052</v>
      </c>
      <c r="F1199" s="6" t="s">
        <v>3250</v>
      </c>
      <c r="G1199" s="6" t="s">
        <v>16</v>
      </c>
      <c r="H1199" s="5">
        <v>1</v>
      </c>
      <c r="I1199" s="6" t="s">
        <v>3250</v>
      </c>
      <c r="J1199" s="5">
        <v>248</v>
      </c>
    </row>
    <row r="1200" s="2" customFormat="1" spans="1:10">
      <c r="A1200" s="6">
        <f>1198</f>
        <v>1198</v>
      </c>
      <c r="B1200" s="6" t="s">
        <v>3251</v>
      </c>
      <c r="C1200" s="6" t="s">
        <v>12</v>
      </c>
      <c r="D1200" s="6" t="s">
        <v>2281</v>
      </c>
      <c r="E1200" s="6" t="s">
        <v>3052</v>
      </c>
      <c r="F1200" s="6" t="s">
        <v>3252</v>
      </c>
      <c r="G1200" s="6" t="s">
        <v>16</v>
      </c>
      <c r="H1200" s="5">
        <v>2</v>
      </c>
      <c r="I1200" s="6" t="s">
        <v>3253</v>
      </c>
      <c r="J1200" s="5">
        <v>690</v>
      </c>
    </row>
    <row r="1201" s="2" customFormat="1" spans="1:10">
      <c r="A1201" s="6">
        <f>1199</f>
        <v>1199</v>
      </c>
      <c r="B1201" s="6" t="s">
        <v>3254</v>
      </c>
      <c r="C1201" s="6" t="s">
        <v>12</v>
      </c>
      <c r="D1201" s="6" t="s">
        <v>2281</v>
      </c>
      <c r="E1201" s="6" t="s">
        <v>3052</v>
      </c>
      <c r="F1201" s="6" t="s">
        <v>3255</v>
      </c>
      <c r="G1201" s="6" t="s">
        <v>16</v>
      </c>
      <c r="H1201" s="5">
        <v>2</v>
      </c>
      <c r="I1201" s="6" t="s">
        <v>3256</v>
      </c>
      <c r="J1201" s="5">
        <v>496</v>
      </c>
    </row>
    <row r="1202" s="2" customFormat="1" spans="1:10">
      <c r="A1202" s="6">
        <f>1200</f>
        <v>1200</v>
      </c>
      <c r="B1202" s="6" t="s">
        <v>3257</v>
      </c>
      <c r="C1202" s="6" t="s">
        <v>12</v>
      </c>
      <c r="D1202" s="6" t="s">
        <v>2281</v>
      </c>
      <c r="E1202" s="6" t="s">
        <v>3052</v>
      </c>
      <c r="F1202" s="6" t="s">
        <v>3258</v>
      </c>
      <c r="G1202" s="6" t="s">
        <v>16</v>
      </c>
      <c r="H1202" s="5">
        <v>3</v>
      </c>
      <c r="I1202" s="6" t="s">
        <v>3259</v>
      </c>
      <c r="J1202" s="5">
        <v>520</v>
      </c>
    </row>
    <row r="1203" s="2" customFormat="1" spans="1:10">
      <c r="A1203" s="6">
        <f>1201</f>
        <v>1201</v>
      </c>
      <c r="B1203" s="6" t="s">
        <v>3260</v>
      </c>
      <c r="C1203" s="6" t="s">
        <v>12</v>
      </c>
      <c r="D1203" s="6" t="s">
        <v>2281</v>
      </c>
      <c r="E1203" s="6" t="s">
        <v>3052</v>
      </c>
      <c r="F1203" s="6" t="s">
        <v>3261</v>
      </c>
      <c r="G1203" s="6" t="s">
        <v>16</v>
      </c>
      <c r="H1203" s="5">
        <v>2</v>
      </c>
      <c r="I1203" s="6" t="s">
        <v>3262</v>
      </c>
      <c r="J1203" s="5">
        <v>380</v>
      </c>
    </row>
    <row r="1204" s="2" customFormat="1" spans="1:10">
      <c r="A1204" s="6">
        <f>1202</f>
        <v>1202</v>
      </c>
      <c r="B1204" s="6" t="s">
        <v>3263</v>
      </c>
      <c r="C1204" s="6" t="s">
        <v>12</v>
      </c>
      <c r="D1204" s="6" t="s">
        <v>2281</v>
      </c>
      <c r="E1204" s="6" t="s">
        <v>3052</v>
      </c>
      <c r="F1204" s="6" t="s">
        <v>3264</v>
      </c>
      <c r="G1204" s="6" t="s">
        <v>16</v>
      </c>
      <c r="H1204" s="5">
        <v>1</v>
      </c>
      <c r="I1204" s="6" t="s">
        <v>3264</v>
      </c>
      <c r="J1204" s="5">
        <v>309</v>
      </c>
    </row>
    <row r="1205" s="2" customFormat="1" spans="1:10">
      <c r="A1205" s="6">
        <f>1203</f>
        <v>1203</v>
      </c>
      <c r="B1205" s="6" t="s">
        <v>3265</v>
      </c>
      <c r="C1205" s="6" t="s">
        <v>12</v>
      </c>
      <c r="D1205" s="6" t="s">
        <v>2281</v>
      </c>
      <c r="E1205" s="6" t="s">
        <v>3052</v>
      </c>
      <c r="F1205" s="6" t="s">
        <v>3266</v>
      </c>
      <c r="G1205" s="6" t="s">
        <v>16</v>
      </c>
      <c r="H1205" s="5">
        <v>2</v>
      </c>
      <c r="I1205" s="6" t="s">
        <v>3267</v>
      </c>
      <c r="J1205" s="5">
        <v>476</v>
      </c>
    </row>
    <row r="1206" s="2" customFormat="1" spans="1:10">
      <c r="A1206" s="6">
        <f>1204</f>
        <v>1204</v>
      </c>
      <c r="B1206" s="6" t="s">
        <v>3268</v>
      </c>
      <c r="C1206" s="6" t="s">
        <v>12</v>
      </c>
      <c r="D1206" s="6" t="s">
        <v>2281</v>
      </c>
      <c r="E1206" s="6" t="s">
        <v>3052</v>
      </c>
      <c r="F1206" s="6" t="s">
        <v>3269</v>
      </c>
      <c r="G1206" s="6" t="s">
        <v>16</v>
      </c>
      <c r="H1206" s="5">
        <v>2</v>
      </c>
      <c r="I1206" s="6" t="s">
        <v>3270</v>
      </c>
      <c r="J1206" s="5">
        <v>635</v>
      </c>
    </row>
    <row r="1207" s="2" customFormat="1" ht="27" spans="1:10">
      <c r="A1207" s="6">
        <f>1205</f>
        <v>1205</v>
      </c>
      <c r="B1207" s="6" t="s">
        <v>3271</v>
      </c>
      <c r="C1207" s="6" t="s">
        <v>12</v>
      </c>
      <c r="D1207" s="6" t="s">
        <v>2281</v>
      </c>
      <c r="E1207" s="6" t="s">
        <v>3052</v>
      </c>
      <c r="F1207" s="6" t="s">
        <v>3272</v>
      </c>
      <c r="G1207" s="6" t="s">
        <v>16</v>
      </c>
      <c r="H1207" s="5">
        <v>4</v>
      </c>
      <c r="I1207" s="6" t="s">
        <v>3273</v>
      </c>
      <c r="J1207" s="5">
        <v>850</v>
      </c>
    </row>
    <row r="1208" s="2" customFormat="1" spans="1:10">
      <c r="A1208" s="6">
        <f>1206</f>
        <v>1206</v>
      </c>
      <c r="B1208" s="6" t="s">
        <v>3274</v>
      </c>
      <c r="C1208" s="6" t="s">
        <v>12</v>
      </c>
      <c r="D1208" s="6" t="s">
        <v>2281</v>
      </c>
      <c r="E1208" s="6" t="s">
        <v>3052</v>
      </c>
      <c r="F1208" s="6" t="s">
        <v>3275</v>
      </c>
      <c r="G1208" s="6" t="s">
        <v>16</v>
      </c>
      <c r="H1208" s="5">
        <v>2</v>
      </c>
      <c r="I1208" s="6" t="s">
        <v>3276</v>
      </c>
      <c r="J1208" s="5">
        <v>430</v>
      </c>
    </row>
    <row r="1209" s="2" customFormat="1" ht="27" spans="1:10">
      <c r="A1209" s="6">
        <f>1207</f>
        <v>1207</v>
      </c>
      <c r="B1209" s="6" t="s">
        <v>3277</v>
      </c>
      <c r="C1209" s="6" t="s">
        <v>12</v>
      </c>
      <c r="D1209" s="6" t="s">
        <v>2281</v>
      </c>
      <c r="E1209" s="6" t="s">
        <v>3052</v>
      </c>
      <c r="F1209" s="6" t="s">
        <v>3278</v>
      </c>
      <c r="G1209" s="6" t="s">
        <v>16</v>
      </c>
      <c r="H1209" s="5">
        <v>6</v>
      </c>
      <c r="I1209" s="6" t="s">
        <v>3279</v>
      </c>
      <c r="J1209" s="5">
        <v>1625</v>
      </c>
    </row>
    <row r="1210" s="2" customFormat="1" ht="27" spans="1:10">
      <c r="A1210" s="6">
        <f>1208</f>
        <v>1208</v>
      </c>
      <c r="B1210" s="6" t="s">
        <v>3280</v>
      </c>
      <c r="C1210" s="6" t="s">
        <v>12</v>
      </c>
      <c r="D1210" s="6" t="s">
        <v>2281</v>
      </c>
      <c r="E1210" s="6" t="s">
        <v>3052</v>
      </c>
      <c r="F1210" s="6" t="s">
        <v>3281</v>
      </c>
      <c r="G1210" s="6" t="s">
        <v>16</v>
      </c>
      <c r="H1210" s="5">
        <v>4</v>
      </c>
      <c r="I1210" s="6" t="s">
        <v>3282</v>
      </c>
      <c r="J1210" s="5">
        <v>502</v>
      </c>
    </row>
    <row r="1211" s="2" customFormat="1" spans="1:10">
      <c r="A1211" s="6">
        <f>1209</f>
        <v>1209</v>
      </c>
      <c r="B1211" s="6" t="s">
        <v>3283</v>
      </c>
      <c r="C1211" s="6" t="s">
        <v>12</v>
      </c>
      <c r="D1211" s="6" t="s">
        <v>2281</v>
      </c>
      <c r="E1211" s="6" t="s">
        <v>3052</v>
      </c>
      <c r="F1211" s="6" t="s">
        <v>3284</v>
      </c>
      <c r="G1211" s="6" t="s">
        <v>16</v>
      </c>
      <c r="H1211" s="5">
        <v>2</v>
      </c>
      <c r="I1211" s="6" t="s">
        <v>3285</v>
      </c>
      <c r="J1211" s="5">
        <v>790</v>
      </c>
    </row>
    <row r="1212" s="2" customFormat="1" spans="1:10">
      <c r="A1212" s="6">
        <f>1210</f>
        <v>1210</v>
      </c>
      <c r="B1212" s="6" t="s">
        <v>3286</v>
      </c>
      <c r="C1212" s="6" t="s">
        <v>12</v>
      </c>
      <c r="D1212" s="6" t="s">
        <v>2281</v>
      </c>
      <c r="E1212" s="6" t="s">
        <v>3052</v>
      </c>
      <c r="F1212" s="6" t="s">
        <v>3287</v>
      </c>
      <c r="G1212" s="6" t="s">
        <v>16</v>
      </c>
      <c r="H1212" s="5">
        <v>1</v>
      </c>
      <c r="I1212" s="6" t="s">
        <v>3287</v>
      </c>
      <c r="J1212" s="5">
        <v>400</v>
      </c>
    </row>
    <row r="1213" s="2" customFormat="1" ht="27" spans="1:10">
      <c r="A1213" s="6">
        <f>1211</f>
        <v>1211</v>
      </c>
      <c r="B1213" s="6" t="s">
        <v>3288</v>
      </c>
      <c r="C1213" s="6" t="s">
        <v>12</v>
      </c>
      <c r="D1213" s="6" t="s">
        <v>2281</v>
      </c>
      <c r="E1213" s="6" t="s">
        <v>3052</v>
      </c>
      <c r="F1213" s="6" t="s">
        <v>3289</v>
      </c>
      <c r="G1213" s="6" t="s">
        <v>16</v>
      </c>
      <c r="H1213" s="5">
        <v>4</v>
      </c>
      <c r="I1213" s="6" t="s">
        <v>3290</v>
      </c>
      <c r="J1213" s="5">
        <v>840</v>
      </c>
    </row>
    <row r="1214" s="2" customFormat="1" spans="1:10">
      <c r="A1214" s="6">
        <f>1212</f>
        <v>1212</v>
      </c>
      <c r="B1214" s="6" t="s">
        <v>3291</v>
      </c>
      <c r="C1214" s="6" t="s">
        <v>12</v>
      </c>
      <c r="D1214" s="6" t="s">
        <v>2281</v>
      </c>
      <c r="E1214" s="6" t="s">
        <v>3052</v>
      </c>
      <c r="F1214" s="6" t="s">
        <v>3292</v>
      </c>
      <c r="G1214" s="6" t="s">
        <v>16</v>
      </c>
      <c r="H1214" s="5">
        <v>1</v>
      </c>
      <c r="I1214" s="6" t="s">
        <v>3292</v>
      </c>
      <c r="J1214" s="5">
        <v>270</v>
      </c>
    </row>
    <row r="1215" s="2" customFormat="1" spans="1:10">
      <c r="A1215" s="6">
        <f>1213</f>
        <v>1213</v>
      </c>
      <c r="B1215" s="6" t="s">
        <v>3293</v>
      </c>
      <c r="C1215" s="6" t="s">
        <v>12</v>
      </c>
      <c r="D1215" s="6" t="s">
        <v>2281</v>
      </c>
      <c r="E1215" s="6" t="s">
        <v>3052</v>
      </c>
      <c r="F1215" s="6" t="s">
        <v>3294</v>
      </c>
      <c r="G1215" s="6" t="s">
        <v>16</v>
      </c>
      <c r="H1215" s="5">
        <v>2</v>
      </c>
      <c r="I1215" s="6" t="s">
        <v>3295</v>
      </c>
      <c r="J1215" s="5">
        <v>496</v>
      </c>
    </row>
    <row r="1216" s="2" customFormat="1" spans="1:10">
      <c r="A1216" s="6">
        <f>1214</f>
        <v>1214</v>
      </c>
      <c r="B1216" s="6" t="s">
        <v>3296</v>
      </c>
      <c r="C1216" s="6" t="s">
        <v>12</v>
      </c>
      <c r="D1216" s="6" t="s">
        <v>2281</v>
      </c>
      <c r="E1216" s="6" t="s">
        <v>3052</v>
      </c>
      <c r="F1216" s="6" t="s">
        <v>3297</v>
      </c>
      <c r="G1216" s="6" t="s">
        <v>16</v>
      </c>
      <c r="H1216" s="5">
        <v>3</v>
      </c>
      <c r="I1216" s="6" t="s">
        <v>3298</v>
      </c>
      <c r="J1216" s="5">
        <v>777</v>
      </c>
    </row>
    <row r="1217" s="2" customFormat="1" spans="1:10">
      <c r="A1217" s="6">
        <f>1215</f>
        <v>1215</v>
      </c>
      <c r="B1217" s="6" t="s">
        <v>3299</v>
      </c>
      <c r="C1217" s="6" t="s">
        <v>12</v>
      </c>
      <c r="D1217" s="6" t="s">
        <v>2281</v>
      </c>
      <c r="E1217" s="6" t="s">
        <v>3052</v>
      </c>
      <c r="F1217" s="6" t="s">
        <v>3300</v>
      </c>
      <c r="G1217" s="6" t="s">
        <v>16</v>
      </c>
      <c r="H1217" s="5">
        <v>1</v>
      </c>
      <c r="I1217" s="6" t="s">
        <v>3300</v>
      </c>
      <c r="J1217" s="5">
        <v>620</v>
      </c>
    </row>
    <row r="1218" s="2" customFormat="1" spans="1:10">
      <c r="A1218" s="6">
        <f>1216</f>
        <v>1216</v>
      </c>
      <c r="B1218" s="6" t="s">
        <v>3301</v>
      </c>
      <c r="C1218" s="6" t="s">
        <v>12</v>
      </c>
      <c r="D1218" s="6" t="s">
        <v>2281</v>
      </c>
      <c r="E1218" s="6" t="s">
        <v>3052</v>
      </c>
      <c r="F1218" s="6" t="s">
        <v>3302</v>
      </c>
      <c r="G1218" s="6" t="s">
        <v>16</v>
      </c>
      <c r="H1218" s="5">
        <v>1</v>
      </c>
      <c r="I1218" s="6" t="s">
        <v>3302</v>
      </c>
      <c r="J1218" s="5">
        <v>420</v>
      </c>
    </row>
    <row r="1219" s="2" customFormat="1" ht="27" spans="1:10">
      <c r="A1219" s="6">
        <f>1217</f>
        <v>1217</v>
      </c>
      <c r="B1219" s="6" t="s">
        <v>3303</v>
      </c>
      <c r="C1219" s="6" t="s">
        <v>12</v>
      </c>
      <c r="D1219" s="6" t="s">
        <v>2281</v>
      </c>
      <c r="E1219" s="6" t="s">
        <v>3052</v>
      </c>
      <c r="F1219" s="6" t="s">
        <v>3304</v>
      </c>
      <c r="G1219" s="6" t="s">
        <v>16</v>
      </c>
      <c r="H1219" s="5">
        <v>5</v>
      </c>
      <c r="I1219" s="6" t="s">
        <v>3305</v>
      </c>
      <c r="J1219" s="5">
        <v>2220</v>
      </c>
    </row>
    <row r="1220" s="2" customFormat="1" ht="40.5" spans="1:10">
      <c r="A1220" s="6">
        <f>1218</f>
        <v>1218</v>
      </c>
      <c r="B1220" s="6" t="s">
        <v>3306</v>
      </c>
      <c r="C1220" s="6" t="s">
        <v>12</v>
      </c>
      <c r="D1220" s="6" t="s">
        <v>2281</v>
      </c>
      <c r="E1220" s="6" t="s">
        <v>3052</v>
      </c>
      <c r="F1220" s="6" t="s">
        <v>3307</v>
      </c>
      <c r="G1220" s="6" t="s">
        <v>16</v>
      </c>
      <c r="H1220" s="5">
        <v>8</v>
      </c>
      <c r="I1220" s="6" t="s">
        <v>3308</v>
      </c>
      <c r="J1220" s="5">
        <v>800</v>
      </c>
    </row>
    <row r="1221" s="2" customFormat="1" spans="1:10">
      <c r="A1221" s="6">
        <f>1219</f>
        <v>1219</v>
      </c>
      <c r="B1221" s="6" t="s">
        <v>3309</v>
      </c>
      <c r="C1221" s="6" t="s">
        <v>12</v>
      </c>
      <c r="D1221" s="6" t="s">
        <v>2281</v>
      </c>
      <c r="E1221" s="6" t="s">
        <v>3052</v>
      </c>
      <c r="F1221" s="6" t="s">
        <v>3310</v>
      </c>
      <c r="G1221" s="6" t="s">
        <v>16</v>
      </c>
      <c r="H1221" s="5">
        <v>2</v>
      </c>
      <c r="I1221" s="6" t="s">
        <v>3311</v>
      </c>
      <c r="J1221" s="5">
        <v>600</v>
      </c>
    </row>
    <row r="1222" s="2" customFormat="1" ht="27" spans="1:10">
      <c r="A1222" s="6">
        <f>1220</f>
        <v>1220</v>
      </c>
      <c r="B1222" s="6" t="s">
        <v>3312</v>
      </c>
      <c r="C1222" s="6" t="s">
        <v>12</v>
      </c>
      <c r="D1222" s="6" t="s">
        <v>2281</v>
      </c>
      <c r="E1222" s="6" t="s">
        <v>3052</v>
      </c>
      <c r="F1222" s="6" t="s">
        <v>3313</v>
      </c>
      <c r="G1222" s="6" t="s">
        <v>16</v>
      </c>
      <c r="H1222" s="5">
        <v>4</v>
      </c>
      <c r="I1222" s="6" t="s">
        <v>3314</v>
      </c>
      <c r="J1222" s="5">
        <v>1100</v>
      </c>
    </row>
    <row r="1223" s="2" customFormat="1" spans="1:10">
      <c r="A1223" s="6">
        <f>1221</f>
        <v>1221</v>
      </c>
      <c r="B1223" s="6" t="s">
        <v>3315</v>
      </c>
      <c r="C1223" s="6" t="s">
        <v>12</v>
      </c>
      <c r="D1223" s="6" t="s">
        <v>2281</v>
      </c>
      <c r="E1223" s="6" t="s">
        <v>3316</v>
      </c>
      <c r="F1223" s="6" t="s">
        <v>3317</v>
      </c>
      <c r="G1223" s="6" t="s">
        <v>16</v>
      </c>
      <c r="H1223" s="5">
        <v>2</v>
      </c>
      <c r="I1223" s="6" t="s">
        <v>3318</v>
      </c>
      <c r="J1223" s="5">
        <v>284</v>
      </c>
    </row>
    <row r="1224" s="2" customFormat="1" spans="1:10">
      <c r="A1224" s="6">
        <f>1222</f>
        <v>1222</v>
      </c>
      <c r="B1224" s="6" t="s">
        <v>3319</v>
      </c>
      <c r="C1224" s="6" t="s">
        <v>12</v>
      </c>
      <c r="D1224" s="6" t="s">
        <v>2281</v>
      </c>
      <c r="E1224" s="6" t="s">
        <v>3316</v>
      </c>
      <c r="F1224" s="6" t="s">
        <v>3320</v>
      </c>
      <c r="G1224" s="6" t="s">
        <v>16</v>
      </c>
      <c r="H1224" s="5">
        <v>3</v>
      </c>
      <c r="I1224" s="6" t="s">
        <v>3321</v>
      </c>
      <c r="J1224" s="5">
        <v>322</v>
      </c>
    </row>
    <row r="1225" s="2" customFormat="1" spans="1:10">
      <c r="A1225" s="6">
        <f>1223</f>
        <v>1223</v>
      </c>
      <c r="B1225" s="6" t="s">
        <v>3322</v>
      </c>
      <c r="C1225" s="6" t="s">
        <v>12</v>
      </c>
      <c r="D1225" s="6" t="s">
        <v>2281</v>
      </c>
      <c r="E1225" s="6" t="s">
        <v>3316</v>
      </c>
      <c r="F1225" s="6" t="s">
        <v>3323</v>
      </c>
      <c r="G1225" s="6" t="s">
        <v>16</v>
      </c>
      <c r="H1225" s="5">
        <v>3</v>
      </c>
      <c r="I1225" s="6" t="s">
        <v>3324</v>
      </c>
      <c r="J1225" s="5">
        <v>990</v>
      </c>
    </row>
    <row r="1226" s="2" customFormat="1" ht="27" spans="1:10">
      <c r="A1226" s="6">
        <f>1224</f>
        <v>1224</v>
      </c>
      <c r="B1226" s="6" t="s">
        <v>3325</v>
      </c>
      <c r="C1226" s="6" t="s">
        <v>12</v>
      </c>
      <c r="D1226" s="6" t="s">
        <v>2281</v>
      </c>
      <c r="E1226" s="6" t="s">
        <v>3316</v>
      </c>
      <c r="F1226" s="6" t="s">
        <v>3326</v>
      </c>
      <c r="G1226" s="6" t="s">
        <v>16</v>
      </c>
      <c r="H1226" s="5">
        <v>4</v>
      </c>
      <c r="I1226" s="6" t="s">
        <v>3327</v>
      </c>
      <c r="J1226" s="5">
        <v>1500</v>
      </c>
    </row>
    <row r="1227" s="2" customFormat="1" ht="27" spans="1:10">
      <c r="A1227" s="6">
        <f>1225</f>
        <v>1225</v>
      </c>
      <c r="B1227" s="6" t="s">
        <v>3328</v>
      </c>
      <c r="C1227" s="6" t="s">
        <v>12</v>
      </c>
      <c r="D1227" s="6" t="s">
        <v>2281</v>
      </c>
      <c r="E1227" s="6" t="s">
        <v>3316</v>
      </c>
      <c r="F1227" s="6" t="s">
        <v>3329</v>
      </c>
      <c r="G1227" s="6" t="s">
        <v>16</v>
      </c>
      <c r="H1227" s="5">
        <v>6</v>
      </c>
      <c r="I1227" s="6" t="s">
        <v>3330</v>
      </c>
      <c r="J1227" s="5">
        <v>700</v>
      </c>
    </row>
    <row r="1228" s="2" customFormat="1" ht="27" spans="1:10">
      <c r="A1228" s="6">
        <f>1226</f>
        <v>1226</v>
      </c>
      <c r="B1228" s="6" t="s">
        <v>3331</v>
      </c>
      <c r="C1228" s="6" t="s">
        <v>12</v>
      </c>
      <c r="D1228" s="6" t="s">
        <v>2281</v>
      </c>
      <c r="E1228" s="6" t="s">
        <v>3316</v>
      </c>
      <c r="F1228" s="6" t="s">
        <v>3332</v>
      </c>
      <c r="G1228" s="6" t="s">
        <v>16</v>
      </c>
      <c r="H1228" s="5">
        <v>4</v>
      </c>
      <c r="I1228" s="6" t="s">
        <v>3333</v>
      </c>
      <c r="J1228" s="5">
        <v>2140</v>
      </c>
    </row>
    <row r="1229" s="2" customFormat="1" spans="1:10">
      <c r="A1229" s="6">
        <f>1227</f>
        <v>1227</v>
      </c>
      <c r="B1229" s="6" t="s">
        <v>3334</v>
      </c>
      <c r="C1229" s="6" t="s">
        <v>12</v>
      </c>
      <c r="D1229" s="6" t="s">
        <v>2281</v>
      </c>
      <c r="E1229" s="6" t="s">
        <v>3316</v>
      </c>
      <c r="F1229" s="6" t="s">
        <v>3335</v>
      </c>
      <c r="G1229" s="6" t="s">
        <v>16</v>
      </c>
      <c r="H1229" s="5">
        <v>2</v>
      </c>
      <c r="I1229" s="6" t="s">
        <v>3336</v>
      </c>
      <c r="J1229" s="5">
        <v>316</v>
      </c>
    </row>
    <row r="1230" s="2" customFormat="1" spans="1:10">
      <c r="A1230" s="6">
        <f>1228</f>
        <v>1228</v>
      </c>
      <c r="B1230" s="6" t="s">
        <v>3337</v>
      </c>
      <c r="C1230" s="6" t="s">
        <v>12</v>
      </c>
      <c r="D1230" s="6" t="s">
        <v>2281</v>
      </c>
      <c r="E1230" s="6" t="s">
        <v>3316</v>
      </c>
      <c r="F1230" s="6" t="s">
        <v>3338</v>
      </c>
      <c r="G1230" s="6" t="s">
        <v>16</v>
      </c>
      <c r="H1230" s="5">
        <v>2</v>
      </c>
      <c r="I1230" s="6" t="s">
        <v>3339</v>
      </c>
      <c r="J1230" s="5">
        <v>420</v>
      </c>
    </row>
    <row r="1231" s="2" customFormat="1" spans="1:10">
      <c r="A1231" s="6">
        <f>1229</f>
        <v>1229</v>
      </c>
      <c r="B1231" s="6" t="s">
        <v>3340</v>
      </c>
      <c r="C1231" s="6" t="s">
        <v>12</v>
      </c>
      <c r="D1231" s="6" t="s">
        <v>2281</v>
      </c>
      <c r="E1231" s="6" t="s">
        <v>3316</v>
      </c>
      <c r="F1231" s="6" t="s">
        <v>3341</v>
      </c>
      <c r="G1231" s="6" t="s">
        <v>16</v>
      </c>
      <c r="H1231" s="5">
        <v>2</v>
      </c>
      <c r="I1231" s="6" t="s">
        <v>3342</v>
      </c>
      <c r="J1231" s="5">
        <v>360</v>
      </c>
    </row>
    <row r="1232" s="2" customFormat="1" spans="1:10">
      <c r="A1232" s="6">
        <f>1230</f>
        <v>1230</v>
      </c>
      <c r="B1232" s="6" t="s">
        <v>3343</v>
      </c>
      <c r="C1232" s="6" t="s">
        <v>12</v>
      </c>
      <c r="D1232" s="6" t="s">
        <v>2281</v>
      </c>
      <c r="E1232" s="6" t="s">
        <v>3316</v>
      </c>
      <c r="F1232" s="6" t="s">
        <v>3344</v>
      </c>
      <c r="G1232" s="6" t="s">
        <v>16</v>
      </c>
      <c r="H1232" s="5">
        <v>3</v>
      </c>
      <c r="I1232" s="6" t="s">
        <v>3345</v>
      </c>
      <c r="J1232" s="5">
        <v>1180</v>
      </c>
    </row>
    <row r="1233" s="2" customFormat="1" spans="1:10">
      <c r="A1233" s="6">
        <f>1231</f>
        <v>1231</v>
      </c>
      <c r="B1233" s="6" t="s">
        <v>3346</v>
      </c>
      <c r="C1233" s="6" t="s">
        <v>12</v>
      </c>
      <c r="D1233" s="6" t="s">
        <v>2281</v>
      </c>
      <c r="E1233" s="6" t="s">
        <v>3316</v>
      </c>
      <c r="F1233" s="6" t="s">
        <v>3347</v>
      </c>
      <c r="G1233" s="6" t="s">
        <v>16</v>
      </c>
      <c r="H1233" s="5">
        <v>3</v>
      </c>
      <c r="I1233" s="6" t="s">
        <v>3348</v>
      </c>
      <c r="J1233" s="5">
        <v>1860</v>
      </c>
    </row>
    <row r="1234" s="2" customFormat="1" spans="1:10">
      <c r="A1234" s="6">
        <f>1232</f>
        <v>1232</v>
      </c>
      <c r="B1234" s="6" t="s">
        <v>3349</v>
      </c>
      <c r="C1234" s="6" t="s">
        <v>12</v>
      </c>
      <c r="D1234" s="6" t="s">
        <v>2281</v>
      </c>
      <c r="E1234" s="6" t="s">
        <v>3316</v>
      </c>
      <c r="F1234" s="6" t="s">
        <v>3350</v>
      </c>
      <c r="G1234" s="6" t="s">
        <v>16</v>
      </c>
      <c r="H1234" s="5">
        <v>2</v>
      </c>
      <c r="I1234" s="6" t="s">
        <v>3351</v>
      </c>
      <c r="J1234" s="5">
        <v>860</v>
      </c>
    </row>
    <row r="1235" s="2" customFormat="1" spans="1:10">
      <c r="A1235" s="6">
        <f>1233</f>
        <v>1233</v>
      </c>
      <c r="B1235" s="6" t="s">
        <v>3352</v>
      </c>
      <c r="C1235" s="6" t="s">
        <v>12</v>
      </c>
      <c r="D1235" s="6" t="s">
        <v>2281</v>
      </c>
      <c r="E1235" s="6" t="s">
        <v>3316</v>
      </c>
      <c r="F1235" s="6" t="s">
        <v>3353</v>
      </c>
      <c r="G1235" s="6" t="s">
        <v>16</v>
      </c>
      <c r="H1235" s="5">
        <v>3</v>
      </c>
      <c r="I1235" s="6" t="s">
        <v>3354</v>
      </c>
      <c r="J1235" s="5">
        <v>1480</v>
      </c>
    </row>
    <row r="1236" s="2" customFormat="1" ht="27" spans="1:10">
      <c r="A1236" s="6">
        <f>1234</f>
        <v>1234</v>
      </c>
      <c r="B1236" s="6" t="s">
        <v>3355</v>
      </c>
      <c r="C1236" s="6" t="s">
        <v>12</v>
      </c>
      <c r="D1236" s="6" t="s">
        <v>2281</v>
      </c>
      <c r="E1236" s="6" t="s">
        <v>3316</v>
      </c>
      <c r="F1236" s="6" t="s">
        <v>3356</v>
      </c>
      <c r="G1236" s="6" t="s">
        <v>16</v>
      </c>
      <c r="H1236" s="5">
        <v>4</v>
      </c>
      <c r="I1236" s="6" t="s">
        <v>3357</v>
      </c>
      <c r="J1236" s="5">
        <v>860</v>
      </c>
    </row>
    <row r="1237" s="2" customFormat="1" spans="1:10">
      <c r="A1237" s="6">
        <f>1235</f>
        <v>1235</v>
      </c>
      <c r="B1237" s="6" t="s">
        <v>3358</v>
      </c>
      <c r="C1237" s="6" t="s">
        <v>12</v>
      </c>
      <c r="D1237" s="6" t="s">
        <v>2281</v>
      </c>
      <c r="E1237" s="6" t="s">
        <v>3316</v>
      </c>
      <c r="F1237" s="6" t="s">
        <v>3359</v>
      </c>
      <c r="G1237" s="6" t="s">
        <v>16</v>
      </c>
      <c r="H1237" s="5">
        <v>3</v>
      </c>
      <c r="I1237" s="6" t="s">
        <v>3360</v>
      </c>
      <c r="J1237" s="5">
        <v>744</v>
      </c>
    </row>
    <row r="1238" s="2" customFormat="1" ht="27" spans="1:10">
      <c r="A1238" s="6">
        <f>1236</f>
        <v>1236</v>
      </c>
      <c r="B1238" s="6" t="s">
        <v>3361</v>
      </c>
      <c r="C1238" s="6" t="s">
        <v>12</v>
      </c>
      <c r="D1238" s="6" t="s">
        <v>2281</v>
      </c>
      <c r="E1238" s="6" t="s">
        <v>3316</v>
      </c>
      <c r="F1238" s="6" t="s">
        <v>3362</v>
      </c>
      <c r="G1238" s="6" t="s">
        <v>16</v>
      </c>
      <c r="H1238" s="5">
        <v>5</v>
      </c>
      <c r="I1238" s="6" t="s">
        <v>3363</v>
      </c>
      <c r="J1238" s="5">
        <v>1320</v>
      </c>
    </row>
    <row r="1239" s="2" customFormat="1" spans="1:10">
      <c r="A1239" s="6">
        <f>1237</f>
        <v>1237</v>
      </c>
      <c r="B1239" s="6" t="s">
        <v>3364</v>
      </c>
      <c r="C1239" s="6" t="s">
        <v>12</v>
      </c>
      <c r="D1239" s="6" t="s">
        <v>2281</v>
      </c>
      <c r="E1239" s="6" t="s">
        <v>3316</v>
      </c>
      <c r="F1239" s="6" t="s">
        <v>3365</v>
      </c>
      <c r="G1239" s="6" t="s">
        <v>16</v>
      </c>
      <c r="H1239" s="5">
        <v>3</v>
      </c>
      <c r="I1239" s="6" t="s">
        <v>3366</v>
      </c>
      <c r="J1239" s="5">
        <v>780</v>
      </c>
    </row>
    <row r="1240" s="2" customFormat="1" spans="1:10">
      <c r="A1240" s="6">
        <f>1238</f>
        <v>1238</v>
      </c>
      <c r="B1240" s="6" t="s">
        <v>3367</v>
      </c>
      <c r="C1240" s="6" t="s">
        <v>12</v>
      </c>
      <c r="D1240" s="6" t="s">
        <v>2281</v>
      </c>
      <c r="E1240" s="6" t="s">
        <v>3316</v>
      </c>
      <c r="F1240" s="6" t="s">
        <v>3368</v>
      </c>
      <c r="G1240" s="6" t="s">
        <v>16</v>
      </c>
      <c r="H1240" s="5">
        <v>2</v>
      </c>
      <c r="I1240" s="6" t="s">
        <v>3369</v>
      </c>
      <c r="J1240" s="5">
        <v>780</v>
      </c>
    </row>
    <row r="1241" s="2" customFormat="1" ht="27" spans="1:10">
      <c r="A1241" s="6">
        <f>1239</f>
        <v>1239</v>
      </c>
      <c r="B1241" s="6" t="s">
        <v>3370</v>
      </c>
      <c r="C1241" s="6" t="s">
        <v>12</v>
      </c>
      <c r="D1241" s="6" t="s">
        <v>2281</v>
      </c>
      <c r="E1241" s="6" t="s">
        <v>3316</v>
      </c>
      <c r="F1241" s="6" t="s">
        <v>3371</v>
      </c>
      <c r="G1241" s="6" t="s">
        <v>16</v>
      </c>
      <c r="H1241" s="5">
        <v>5</v>
      </c>
      <c r="I1241" s="6" t="s">
        <v>3372</v>
      </c>
      <c r="J1241" s="5">
        <v>1400</v>
      </c>
    </row>
    <row r="1242" s="2" customFormat="1" ht="27" spans="1:10">
      <c r="A1242" s="6">
        <f>1240</f>
        <v>1240</v>
      </c>
      <c r="B1242" s="6" t="s">
        <v>3373</v>
      </c>
      <c r="C1242" s="6" t="s">
        <v>12</v>
      </c>
      <c r="D1242" s="6" t="s">
        <v>2281</v>
      </c>
      <c r="E1242" s="6" t="s">
        <v>3316</v>
      </c>
      <c r="F1242" s="6" t="s">
        <v>3374</v>
      </c>
      <c r="G1242" s="6" t="s">
        <v>16</v>
      </c>
      <c r="H1242" s="5">
        <v>4</v>
      </c>
      <c r="I1242" s="6" t="s">
        <v>3375</v>
      </c>
      <c r="J1242" s="5">
        <v>910</v>
      </c>
    </row>
    <row r="1243" s="2" customFormat="1" ht="27" spans="1:10">
      <c r="A1243" s="6">
        <f>1241</f>
        <v>1241</v>
      </c>
      <c r="B1243" s="6" t="s">
        <v>3376</v>
      </c>
      <c r="C1243" s="6" t="s">
        <v>12</v>
      </c>
      <c r="D1243" s="6" t="s">
        <v>2281</v>
      </c>
      <c r="E1243" s="6" t="s">
        <v>3316</v>
      </c>
      <c r="F1243" s="6" t="s">
        <v>3377</v>
      </c>
      <c r="G1243" s="6" t="s">
        <v>16</v>
      </c>
      <c r="H1243" s="5">
        <v>5</v>
      </c>
      <c r="I1243" s="6" t="s">
        <v>3378</v>
      </c>
      <c r="J1243" s="5">
        <v>1400</v>
      </c>
    </row>
    <row r="1244" s="2" customFormat="1" spans="1:10">
      <c r="A1244" s="6">
        <f>1242</f>
        <v>1242</v>
      </c>
      <c r="B1244" s="6" t="s">
        <v>3379</v>
      </c>
      <c r="C1244" s="6" t="s">
        <v>12</v>
      </c>
      <c r="D1244" s="6" t="s">
        <v>2281</v>
      </c>
      <c r="E1244" s="6" t="s">
        <v>3316</v>
      </c>
      <c r="F1244" s="6" t="s">
        <v>3380</v>
      </c>
      <c r="G1244" s="6" t="s">
        <v>16</v>
      </c>
      <c r="H1244" s="5">
        <v>3</v>
      </c>
      <c r="I1244" s="6" t="s">
        <v>3381</v>
      </c>
      <c r="J1244" s="5">
        <v>1320</v>
      </c>
    </row>
    <row r="1245" s="2" customFormat="1" spans="1:10">
      <c r="A1245" s="6">
        <f>1243</f>
        <v>1243</v>
      </c>
      <c r="B1245" s="6" t="s">
        <v>3382</v>
      </c>
      <c r="C1245" s="6" t="s">
        <v>12</v>
      </c>
      <c r="D1245" s="6" t="s">
        <v>2281</v>
      </c>
      <c r="E1245" s="6" t="s">
        <v>3316</v>
      </c>
      <c r="F1245" s="6" t="s">
        <v>3383</v>
      </c>
      <c r="G1245" s="6" t="s">
        <v>16</v>
      </c>
      <c r="H1245" s="5">
        <v>2</v>
      </c>
      <c r="I1245" s="6" t="s">
        <v>3384</v>
      </c>
      <c r="J1245" s="5">
        <v>790</v>
      </c>
    </row>
    <row r="1246" s="2" customFormat="1" ht="27" spans="1:10">
      <c r="A1246" s="6">
        <f>1244</f>
        <v>1244</v>
      </c>
      <c r="B1246" s="6" t="s">
        <v>3385</v>
      </c>
      <c r="C1246" s="6" t="s">
        <v>12</v>
      </c>
      <c r="D1246" s="6" t="s">
        <v>2281</v>
      </c>
      <c r="E1246" s="6" t="s">
        <v>3316</v>
      </c>
      <c r="F1246" s="6" t="s">
        <v>3386</v>
      </c>
      <c r="G1246" s="6" t="s">
        <v>16</v>
      </c>
      <c r="H1246" s="5">
        <v>4</v>
      </c>
      <c r="I1246" s="6" t="s">
        <v>3387</v>
      </c>
      <c r="J1246" s="5">
        <v>887</v>
      </c>
    </row>
    <row r="1247" s="2" customFormat="1" ht="27" spans="1:10">
      <c r="A1247" s="6">
        <f>1245</f>
        <v>1245</v>
      </c>
      <c r="B1247" s="6" t="s">
        <v>3388</v>
      </c>
      <c r="C1247" s="6" t="s">
        <v>12</v>
      </c>
      <c r="D1247" s="6" t="s">
        <v>2281</v>
      </c>
      <c r="E1247" s="6" t="s">
        <v>3316</v>
      </c>
      <c r="F1247" s="6" t="s">
        <v>3389</v>
      </c>
      <c r="G1247" s="6" t="s">
        <v>16</v>
      </c>
      <c r="H1247" s="5">
        <v>6</v>
      </c>
      <c r="I1247" s="6" t="s">
        <v>3390</v>
      </c>
      <c r="J1247" s="5">
        <v>1018</v>
      </c>
    </row>
    <row r="1248" s="2" customFormat="1" spans="1:10">
      <c r="A1248" s="6">
        <f>1246</f>
        <v>1246</v>
      </c>
      <c r="B1248" s="6" t="s">
        <v>3391</v>
      </c>
      <c r="C1248" s="6" t="s">
        <v>12</v>
      </c>
      <c r="D1248" s="6" t="s">
        <v>2281</v>
      </c>
      <c r="E1248" s="6" t="s">
        <v>3316</v>
      </c>
      <c r="F1248" s="6" t="s">
        <v>3392</v>
      </c>
      <c r="G1248" s="6" t="s">
        <v>16</v>
      </c>
      <c r="H1248" s="5">
        <v>1</v>
      </c>
      <c r="I1248" s="6" t="s">
        <v>3392</v>
      </c>
      <c r="J1248" s="5">
        <v>308</v>
      </c>
    </row>
    <row r="1249" s="2" customFormat="1" spans="1:10">
      <c r="A1249" s="6">
        <f>1247</f>
        <v>1247</v>
      </c>
      <c r="B1249" s="6" t="s">
        <v>3393</v>
      </c>
      <c r="C1249" s="6" t="s">
        <v>12</v>
      </c>
      <c r="D1249" s="6" t="s">
        <v>2281</v>
      </c>
      <c r="E1249" s="6" t="s">
        <v>3316</v>
      </c>
      <c r="F1249" s="6" t="s">
        <v>3394</v>
      </c>
      <c r="G1249" s="6" t="s">
        <v>16</v>
      </c>
      <c r="H1249" s="5">
        <v>3</v>
      </c>
      <c r="I1249" s="6" t="s">
        <v>3395</v>
      </c>
      <c r="J1249" s="5">
        <v>505</v>
      </c>
    </row>
    <row r="1250" s="2" customFormat="1" ht="27" spans="1:10">
      <c r="A1250" s="6">
        <f>1248</f>
        <v>1248</v>
      </c>
      <c r="B1250" s="6" t="s">
        <v>3396</v>
      </c>
      <c r="C1250" s="6" t="s">
        <v>12</v>
      </c>
      <c r="D1250" s="6" t="s">
        <v>2281</v>
      </c>
      <c r="E1250" s="6" t="s">
        <v>3316</v>
      </c>
      <c r="F1250" s="6" t="s">
        <v>3397</v>
      </c>
      <c r="G1250" s="6" t="s">
        <v>16</v>
      </c>
      <c r="H1250" s="5">
        <v>4</v>
      </c>
      <c r="I1250" s="6" t="s">
        <v>3398</v>
      </c>
      <c r="J1250" s="5">
        <v>1026</v>
      </c>
    </row>
    <row r="1251" s="2" customFormat="1" spans="1:10">
      <c r="A1251" s="6">
        <f>1249</f>
        <v>1249</v>
      </c>
      <c r="B1251" s="6" t="s">
        <v>3399</v>
      </c>
      <c r="C1251" s="6" t="s">
        <v>12</v>
      </c>
      <c r="D1251" s="6" t="s">
        <v>2281</v>
      </c>
      <c r="E1251" s="6" t="s">
        <v>3316</v>
      </c>
      <c r="F1251" s="6" t="s">
        <v>3400</v>
      </c>
      <c r="G1251" s="6" t="s">
        <v>16</v>
      </c>
      <c r="H1251" s="5">
        <v>1</v>
      </c>
      <c r="I1251" s="6" t="s">
        <v>3400</v>
      </c>
      <c r="J1251" s="5">
        <v>287</v>
      </c>
    </row>
    <row r="1252" s="2" customFormat="1" spans="1:10">
      <c r="A1252" s="6">
        <f>1250</f>
        <v>1250</v>
      </c>
      <c r="B1252" s="6" t="s">
        <v>3401</v>
      </c>
      <c r="C1252" s="6" t="s">
        <v>12</v>
      </c>
      <c r="D1252" s="6" t="s">
        <v>2281</v>
      </c>
      <c r="E1252" s="6" t="s">
        <v>3316</v>
      </c>
      <c r="F1252" s="6" t="s">
        <v>3402</v>
      </c>
      <c r="G1252" s="6" t="s">
        <v>16</v>
      </c>
      <c r="H1252" s="5">
        <v>3</v>
      </c>
      <c r="I1252" s="6" t="s">
        <v>3403</v>
      </c>
      <c r="J1252" s="5">
        <v>358</v>
      </c>
    </row>
    <row r="1253" s="2" customFormat="1" spans="1:10">
      <c r="A1253" s="6">
        <f>1251</f>
        <v>1251</v>
      </c>
      <c r="B1253" s="6" t="s">
        <v>3404</v>
      </c>
      <c r="C1253" s="6" t="s">
        <v>12</v>
      </c>
      <c r="D1253" s="6" t="s">
        <v>2281</v>
      </c>
      <c r="E1253" s="6" t="s">
        <v>3316</v>
      </c>
      <c r="F1253" s="6" t="s">
        <v>3405</v>
      </c>
      <c r="G1253" s="6" t="s">
        <v>16</v>
      </c>
      <c r="H1253" s="5">
        <v>1</v>
      </c>
      <c r="I1253" s="6" t="s">
        <v>3405</v>
      </c>
      <c r="J1253" s="5">
        <v>228</v>
      </c>
    </row>
    <row r="1254" s="2" customFormat="1" spans="1:10">
      <c r="A1254" s="6">
        <f>1252</f>
        <v>1252</v>
      </c>
      <c r="B1254" s="6" t="s">
        <v>3406</v>
      </c>
      <c r="C1254" s="6" t="s">
        <v>12</v>
      </c>
      <c r="D1254" s="6" t="s">
        <v>2281</v>
      </c>
      <c r="E1254" s="6" t="s">
        <v>3316</v>
      </c>
      <c r="F1254" s="6" t="s">
        <v>3407</v>
      </c>
      <c r="G1254" s="6" t="s">
        <v>16</v>
      </c>
      <c r="H1254" s="5">
        <v>2</v>
      </c>
      <c r="I1254" s="6" t="s">
        <v>3408</v>
      </c>
      <c r="J1254" s="5">
        <v>840</v>
      </c>
    </row>
    <row r="1255" s="2" customFormat="1" ht="27" spans="1:10">
      <c r="A1255" s="6">
        <f>1253</f>
        <v>1253</v>
      </c>
      <c r="B1255" s="6" t="s">
        <v>3409</v>
      </c>
      <c r="C1255" s="6" t="s">
        <v>12</v>
      </c>
      <c r="D1255" s="6" t="s">
        <v>2281</v>
      </c>
      <c r="E1255" s="6" t="s">
        <v>3316</v>
      </c>
      <c r="F1255" s="6" t="s">
        <v>3410</v>
      </c>
      <c r="G1255" s="6" t="s">
        <v>16</v>
      </c>
      <c r="H1255" s="5">
        <v>5</v>
      </c>
      <c r="I1255" s="6" t="s">
        <v>3411</v>
      </c>
      <c r="J1255" s="5">
        <v>1060</v>
      </c>
    </row>
    <row r="1256" s="2" customFormat="1" spans="1:10">
      <c r="A1256" s="6">
        <f>1254</f>
        <v>1254</v>
      </c>
      <c r="B1256" s="6" t="s">
        <v>3412</v>
      </c>
      <c r="C1256" s="6" t="s">
        <v>12</v>
      </c>
      <c r="D1256" s="6" t="s">
        <v>2281</v>
      </c>
      <c r="E1256" s="6" t="s">
        <v>3316</v>
      </c>
      <c r="F1256" s="6" t="s">
        <v>3413</v>
      </c>
      <c r="G1256" s="6" t="s">
        <v>16</v>
      </c>
      <c r="H1256" s="5">
        <v>3</v>
      </c>
      <c r="I1256" s="6" t="s">
        <v>3414</v>
      </c>
      <c r="J1256" s="5">
        <v>762</v>
      </c>
    </row>
    <row r="1257" s="2" customFormat="1" spans="1:10">
      <c r="A1257" s="6">
        <f>1255</f>
        <v>1255</v>
      </c>
      <c r="B1257" s="6" t="s">
        <v>3415</v>
      </c>
      <c r="C1257" s="6" t="s">
        <v>12</v>
      </c>
      <c r="D1257" s="6" t="s">
        <v>2281</v>
      </c>
      <c r="E1257" s="6" t="s">
        <v>3316</v>
      </c>
      <c r="F1257" s="6" t="s">
        <v>3416</v>
      </c>
      <c r="G1257" s="6" t="s">
        <v>16</v>
      </c>
      <c r="H1257" s="5">
        <v>1</v>
      </c>
      <c r="I1257" s="6" t="s">
        <v>3416</v>
      </c>
      <c r="J1257" s="5">
        <v>345</v>
      </c>
    </row>
    <row r="1258" s="2" customFormat="1" ht="27" spans="1:10">
      <c r="A1258" s="6">
        <f>1256</f>
        <v>1256</v>
      </c>
      <c r="B1258" s="6" t="s">
        <v>3417</v>
      </c>
      <c r="C1258" s="6" t="s">
        <v>12</v>
      </c>
      <c r="D1258" s="6" t="s">
        <v>2281</v>
      </c>
      <c r="E1258" s="6" t="s">
        <v>3316</v>
      </c>
      <c r="F1258" s="6" t="s">
        <v>3418</v>
      </c>
      <c r="G1258" s="6" t="s">
        <v>16</v>
      </c>
      <c r="H1258" s="5">
        <v>4</v>
      </c>
      <c r="I1258" s="6" t="s">
        <v>3419</v>
      </c>
      <c r="J1258" s="5">
        <v>800</v>
      </c>
    </row>
    <row r="1259" s="2" customFormat="1" spans="1:10">
      <c r="A1259" s="6">
        <f>1257</f>
        <v>1257</v>
      </c>
      <c r="B1259" s="6" t="s">
        <v>3420</v>
      </c>
      <c r="C1259" s="6" t="s">
        <v>12</v>
      </c>
      <c r="D1259" s="6" t="s">
        <v>2281</v>
      </c>
      <c r="E1259" s="6" t="s">
        <v>3316</v>
      </c>
      <c r="F1259" s="6" t="s">
        <v>3421</v>
      </c>
      <c r="G1259" s="6" t="s">
        <v>16</v>
      </c>
      <c r="H1259" s="5">
        <v>2</v>
      </c>
      <c r="I1259" s="6" t="s">
        <v>3422</v>
      </c>
      <c r="J1259" s="5">
        <v>576</v>
      </c>
    </row>
    <row r="1260" s="2" customFormat="1" ht="27" spans="1:10">
      <c r="A1260" s="6">
        <f>1258</f>
        <v>1258</v>
      </c>
      <c r="B1260" s="6" t="s">
        <v>3423</v>
      </c>
      <c r="C1260" s="6" t="s">
        <v>12</v>
      </c>
      <c r="D1260" s="6" t="s">
        <v>2281</v>
      </c>
      <c r="E1260" s="6" t="s">
        <v>3316</v>
      </c>
      <c r="F1260" s="6" t="s">
        <v>3424</v>
      </c>
      <c r="G1260" s="6" t="s">
        <v>16</v>
      </c>
      <c r="H1260" s="5">
        <v>6</v>
      </c>
      <c r="I1260" s="6" t="s">
        <v>3425</v>
      </c>
      <c r="J1260" s="5">
        <v>780</v>
      </c>
    </row>
    <row r="1261" s="2" customFormat="1" spans="1:10">
      <c r="A1261" s="6">
        <f>1259</f>
        <v>1259</v>
      </c>
      <c r="B1261" s="6" t="s">
        <v>3426</v>
      </c>
      <c r="C1261" s="6" t="s">
        <v>12</v>
      </c>
      <c r="D1261" s="6" t="s">
        <v>2281</v>
      </c>
      <c r="E1261" s="6" t="s">
        <v>3316</v>
      </c>
      <c r="F1261" s="6" t="s">
        <v>3427</v>
      </c>
      <c r="G1261" s="6" t="s">
        <v>16</v>
      </c>
      <c r="H1261" s="5">
        <v>2</v>
      </c>
      <c r="I1261" s="6" t="s">
        <v>3428</v>
      </c>
      <c r="J1261" s="5">
        <v>530</v>
      </c>
    </row>
    <row r="1262" s="2" customFormat="1" ht="40.5" spans="1:10">
      <c r="A1262" s="6">
        <f>1260</f>
        <v>1260</v>
      </c>
      <c r="B1262" s="6" t="s">
        <v>3429</v>
      </c>
      <c r="C1262" s="6" t="s">
        <v>12</v>
      </c>
      <c r="D1262" s="6" t="s">
        <v>2281</v>
      </c>
      <c r="E1262" s="6" t="s">
        <v>3316</v>
      </c>
      <c r="F1262" s="6" t="s">
        <v>3430</v>
      </c>
      <c r="G1262" s="6" t="s">
        <v>16</v>
      </c>
      <c r="H1262" s="5">
        <v>8</v>
      </c>
      <c r="I1262" s="6" t="s">
        <v>3431</v>
      </c>
      <c r="J1262" s="5">
        <v>1522</v>
      </c>
    </row>
    <row r="1263" s="2" customFormat="1" ht="27" spans="1:10">
      <c r="A1263" s="6">
        <f>1261</f>
        <v>1261</v>
      </c>
      <c r="B1263" s="6" t="s">
        <v>3432</v>
      </c>
      <c r="C1263" s="6" t="s">
        <v>12</v>
      </c>
      <c r="D1263" s="6" t="s">
        <v>2281</v>
      </c>
      <c r="E1263" s="6" t="s">
        <v>3316</v>
      </c>
      <c r="F1263" s="6" t="s">
        <v>3433</v>
      </c>
      <c r="G1263" s="6" t="s">
        <v>16</v>
      </c>
      <c r="H1263" s="5">
        <v>4</v>
      </c>
      <c r="I1263" s="6" t="s">
        <v>3434</v>
      </c>
      <c r="J1263" s="5">
        <v>1760</v>
      </c>
    </row>
    <row r="1264" s="2" customFormat="1" spans="1:10">
      <c r="A1264" s="6">
        <f>1262</f>
        <v>1262</v>
      </c>
      <c r="B1264" s="6" t="s">
        <v>3435</v>
      </c>
      <c r="C1264" s="6" t="s">
        <v>12</v>
      </c>
      <c r="D1264" s="6" t="s">
        <v>2281</v>
      </c>
      <c r="E1264" s="6" t="s">
        <v>3316</v>
      </c>
      <c r="F1264" s="6" t="s">
        <v>3436</v>
      </c>
      <c r="G1264" s="6" t="s">
        <v>16</v>
      </c>
      <c r="H1264" s="5">
        <v>3</v>
      </c>
      <c r="I1264" s="6" t="s">
        <v>3437</v>
      </c>
      <c r="J1264" s="5">
        <v>570</v>
      </c>
    </row>
    <row r="1265" s="2" customFormat="1" ht="27" spans="1:10">
      <c r="A1265" s="6">
        <f>1263</f>
        <v>1263</v>
      </c>
      <c r="B1265" s="6" t="s">
        <v>3438</v>
      </c>
      <c r="C1265" s="6" t="s">
        <v>12</v>
      </c>
      <c r="D1265" s="6" t="s">
        <v>2281</v>
      </c>
      <c r="E1265" s="6" t="s">
        <v>3316</v>
      </c>
      <c r="F1265" s="6" t="s">
        <v>3439</v>
      </c>
      <c r="G1265" s="6" t="s">
        <v>16</v>
      </c>
      <c r="H1265" s="5">
        <v>4</v>
      </c>
      <c r="I1265" s="6" t="s">
        <v>3440</v>
      </c>
      <c r="J1265" s="5">
        <v>1020</v>
      </c>
    </row>
    <row r="1266" s="2" customFormat="1" spans="1:10">
      <c r="A1266" s="6">
        <f>1264</f>
        <v>1264</v>
      </c>
      <c r="B1266" s="6" t="s">
        <v>3441</v>
      </c>
      <c r="C1266" s="6" t="s">
        <v>12</v>
      </c>
      <c r="D1266" s="6" t="s">
        <v>2281</v>
      </c>
      <c r="E1266" s="6" t="s">
        <v>3316</v>
      </c>
      <c r="F1266" s="6" t="s">
        <v>3442</v>
      </c>
      <c r="G1266" s="6" t="s">
        <v>16</v>
      </c>
      <c r="H1266" s="5">
        <v>3</v>
      </c>
      <c r="I1266" s="6" t="s">
        <v>3443</v>
      </c>
      <c r="J1266" s="5">
        <v>338</v>
      </c>
    </row>
    <row r="1267" s="2" customFormat="1" spans="1:10">
      <c r="A1267" s="6">
        <f>1265</f>
        <v>1265</v>
      </c>
      <c r="B1267" s="6" t="s">
        <v>3444</v>
      </c>
      <c r="C1267" s="6" t="s">
        <v>12</v>
      </c>
      <c r="D1267" s="6" t="s">
        <v>2281</v>
      </c>
      <c r="E1267" s="6" t="s">
        <v>3316</v>
      </c>
      <c r="F1267" s="6" t="s">
        <v>3445</v>
      </c>
      <c r="G1267" s="6" t="s">
        <v>16</v>
      </c>
      <c r="H1267" s="5">
        <v>3</v>
      </c>
      <c r="I1267" s="6" t="s">
        <v>3446</v>
      </c>
      <c r="J1267" s="5">
        <v>734</v>
      </c>
    </row>
    <row r="1268" s="2" customFormat="1" spans="1:10">
      <c r="A1268" s="6">
        <f>1266</f>
        <v>1266</v>
      </c>
      <c r="B1268" s="6" t="s">
        <v>3447</v>
      </c>
      <c r="C1268" s="6" t="s">
        <v>12</v>
      </c>
      <c r="D1268" s="6" t="s">
        <v>2281</v>
      </c>
      <c r="E1268" s="6" t="s">
        <v>3316</v>
      </c>
      <c r="F1268" s="6" t="s">
        <v>3448</v>
      </c>
      <c r="G1268" s="6" t="s">
        <v>16</v>
      </c>
      <c r="H1268" s="5">
        <v>1</v>
      </c>
      <c r="I1268" s="6" t="s">
        <v>3448</v>
      </c>
      <c r="J1268" s="5">
        <v>318</v>
      </c>
    </row>
    <row r="1269" s="2" customFormat="1" ht="27" spans="1:10">
      <c r="A1269" s="6">
        <f>1267</f>
        <v>1267</v>
      </c>
      <c r="B1269" s="6" t="s">
        <v>3449</v>
      </c>
      <c r="C1269" s="6" t="s">
        <v>12</v>
      </c>
      <c r="D1269" s="6" t="s">
        <v>2281</v>
      </c>
      <c r="E1269" s="6" t="s">
        <v>3316</v>
      </c>
      <c r="F1269" s="6" t="s">
        <v>3450</v>
      </c>
      <c r="G1269" s="6" t="s">
        <v>16</v>
      </c>
      <c r="H1269" s="5">
        <v>5</v>
      </c>
      <c r="I1269" s="6" t="s">
        <v>3451</v>
      </c>
      <c r="J1269" s="5">
        <v>656</v>
      </c>
    </row>
    <row r="1270" s="2" customFormat="1" spans="1:10">
      <c r="A1270" s="6">
        <f>1268</f>
        <v>1268</v>
      </c>
      <c r="B1270" s="6" t="s">
        <v>3452</v>
      </c>
      <c r="C1270" s="6" t="s">
        <v>12</v>
      </c>
      <c r="D1270" s="6" t="s">
        <v>2281</v>
      </c>
      <c r="E1270" s="6" t="s">
        <v>3316</v>
      </c>
      <c r="F1270" s="6" t="s">
        <v>3453</v>
      </c>
      <c r="G1270" s="6" t="s">
        <v>16</v>
      </c>
      <c r="H1270" s="5">
        <v>3</v>
      </c>
      <c r="I1270" s="6" t="s">
        <v>3454</v>
      </c>
      <c r="J1270" s="5">
        <v>806</v>
      </c>
    </row>
    <row r="1271" s="2" customFormat="1" spans="1:10">
      <c r="A1271" s="6">
        <f>1269</f>
        <v>1269</v>
      </c>
      <c r="B1271" s="6" t="s">
        <v>3455</v>
      </c>
      <c r="C1271" s="6" t="s">
        <v>12</v>
      </c>
      <c r="D1271" s="6" t="s">
        <v>2281</v>
      </c>
      <c r="E1271" s="6" t="s">
        <v>3316</v>
      </c>
      <c r="F1271" s="6" t="s">
        <v>3456</v>
      </c>
      <c r="G1271" s="6" t="s">
        <v>16</v>
      </c>
      <c r="H1271" s="5">
        <v>2</v>
      </c>
      <c r="I1271" s="6" t="s">
        <v>3457</v>
      </c>
      <c r="J1271" s="5">
        <v>496</v>
      </c>
    </row>
    <row r="1272" s="2" customFormat="1" ht="27" spans="1:10">
      <c r="A1272" s="6">
        <f>1270</f>
        <v>1270</v>
      </c>
      <c r="B1272" s="6" t="s">
        <v>3458</v>
      </c>
      <c r="C1272" s="6" t="s">
        <v>12</v>
      </c>
      <c r="D1272" s="6" t="s">
        <v>2281</v>
      </c>
      <c r="E1272" s="6" t="s">
        <v>3316</v>
      </c>
      <c r="F1272" s="6" t="s">
        <v>3459</v>
      </c>
      <c r="G1272" s="6" t="s">
        <v>16</v>
      </c>
      <c r="H1272" s="5">
        <v>4</v>
      </c>
      <c r="I1272" s="6" t="s">
        <v>3460</v>
      </c>
      <c r="J1272" s="5">
        <v>467</v>
      </c>
    </row>
    <row r="1273" s="2" customFormat="1" ht="27" spans="1:10">
      <c r="A1273" s="6">
        <f>1271</f>
        <v>1271</v>
      </c>
      <c r="B1273" s="6" t="s">
        <v>3461</v>
      </c>
      <c r="C1273" s="6" t="s">
        <v>12</v>
      </c>
      <c r="D1273" s="6" t="s">
        <v>2281</v>
      </c>
      <c r="E1273" s="6" t="s">
        <v>3316</v>
      </c>
      <c r="F1273" s="6" t="s">
        <v>3462</v>
      </c>
      <c r="G1273" s="6" t="s">
        <v>16</v>
      </c>
      <c r="H1273" s="5">
        <v>4</v>
      </c>
      <c r="I1273" s="6" t="s">
        <v>3463</v>
      </c>
      <c r="J1273" s="5">
        <v>670</v>
      </c>
    </row>
    <row r="1274" s="2" customFormat="1" ht="27" spans="1:10">
      <c r="A1274" s="6">
        <f>1272</f>
        <v>1272</v>
      </c>
      <c r="B1274" s="6" t="s">
        <v>3464</v>
      </c>
      <c r="C1274" s="6" t="s">
        <v>12</v>
      </c>
      <c r="D1274" s="6" t="s">
        <v>2281</v>
      </c>
      <c r="E1274" s="6" t="s">
        <v>3316</v>
      </c>
      <c r="F1274" s="6" t="s">
        <v>3465</v>
      </c>
      <c r="G1274" s="6" t="s">
        <v>16</v>
      </c>
      <c r="H1274" s="5">
        <v>5</v>
      </c>
      <c r="I1274" s="6" t="s">
        <v>3466</v>
      </c>
      <c r="J1274" s="5">
        <v>965</v>
      </c>
    </row>
    <row r="1275" s="2" customFormat="1" spans="1:10">
      <c r="A1275" s="6">
        <f>1273</f>
        <v>1273</v>
      </c>
      <c r="B1275" s="6" t="s">
        <v>3467</v>
      </c>
      <c r="C1275" s="6" t="s">
        <v>12</v>
      </c>
      <c r="D1275" s="6" t="s">
        <v>2281</v>
      </c>
      <c r="E1275" s="6" t="s">
        <v>3316</v>
      </c>
      <c r="F1275" s="6" t="s">
        <v>3468</v>
      </c>
      <c r="G1275" s="6" t="s">
        <v>16</v>
      </c>
      <c r="H1275" s="5">
        <v>1</v>
      </c>
      <c r="I1275" s="6" t="s">
        <v>3468</v>
      </c>
      <c r="J1275" s="5">
        <v>228</v>
      </c>
    </row>
    <row r="1276" s="2" customFormat="1" spans="1:10">
      <c r="A1276" s="6">
        <f>1274</f>
        <v>1274</v>
      </c>
      <c r="B1276" s="6" t="s">
        <v>3469</v>
      </c>
      <c r="C1276" s="6" t="s">
        <v>12</v>
      </c>
      <c r="D1276" s="6" t="s">
        <v>2281</v>
      </c>
      <c r="E1276" s="6" t="s">
        <v>3316</v>
      </c>
      <c r="F1276" s="6" t="s">
        <v>3470</v>
      </c>
      <c r="G1276" s="6" t="s">
        <v>16</v>
      </c>
      <c r="H1276" s="5">
        <v>3</v>
      </c>
      <c r="I1276" s="6" t="s">
        <v>3471</v>
      </c>
      <c r="J1276" s="5">
        <v>556</v>
      </c>
    </row>
    <row r="1277" s="2" customFormat="1" spans="1:10">
      <c r="A1277" s="6">
        <f>1275</f>
        <v>1275</v>
      </c>
      <c r="B1277" s="6" t="s">
        <v>3472</v>
      </c>
      <c r="C1277" s="6" t="s">
        <v>12</v>
      </c>
      <c r="D1277" s="6" t="s">
        <v>2281</v>
      </c>
      <c r="E1277" s="6" t="s">
        <v>3316</v>
      </c>
      <c r="F1277" s="6" t="s">
        <v>3473</v>
      </c>
      <c r="G1277" s="6" t="s">
        <v>16</v>
      </c>
      <c r="H1277" s="5">
        <v>1</v>
      </c>
      <c r="I1277" s="6" t="s">
        <v>3473</v>
      </c>
      <c r="J1277" s="5">
        <v>240</v>
      </c>
    </row>
    <row r="1278" s="2" customFormat="1" spans="1:10">
      <c r="A1278" s="6">
        <f>1276</f>
        <v>1276</v>
      </c>
      <c r="B1278" s="6" t="s">
        <v>3474</v>
      </c>
      <c r="C1278" s="6" t="s">
        <v>12</v>
      </c>
      <c r="D1278" s="6" t="s">
        <v>2281</v>
      </c>
      <c r="E1278" s="6" t="s">
        <v>3316</v>
      </c>
      <c r="F1278" s="6" t="s">
        <v>3475</v>
      </c>
      <c r="G1278" s="6" t="s">
        <v>16</v>
      </c>
      <c r="H1278" s="5">
        <v>2</v>
      </c>
      <c r="I1278" s="6" t="s">
        <v>3476</v>
      </c>
      <c r="J1278" s="5">
        <v>780</v>
      </c>
    </row>
    <row r="1279" s="2" customFormat="1" spans="1:10">
      <c r="A1279" s="6">
        <f>1277</f>
        <v>1277</v>
      </c>
      <c r="B1279" s="6" t="s">
        <v>3477</v>
      </c>
      <c r="C1279" s="6" t="s">
        <v>12</v>
      </c>
      <c r="D1279" s="6" t="s">
        <v>2281</v>
      </c>
      <c r="E1279" s="6" t="s">
        <v>3316</v>
      </c>
      <c r="F1279" s="6" t="s">
        <v>3478</v>
      </c>
      <c r="G1279" s="6" t="s">
        <v>16</v>
      </c>
      <c r="H1279" s="5">
        <v>2</v>
      </c>
      <c r="I1279" s="6" t="s">
        <v>3479</v>
      </c>
      <c r="J1279" s="5">
        <v>436</v>
      </c>
    </row>
    <row r="1280" s="2" customFormat="1" ht="27" spans="1:10">
      <c r="A1280" s="6">
        <f>1278</f>
        <v>1278</v>
      </c>
      <c r="B1280" s="6" t="s">
        <v>3480</v>
      </c>
      <c r="C1280" s="6" t="s">
        <v>12</v>
      </c>
      <c r="D1280" s="6" t="s">
        <v>2281</v>
      </c>
      <c r="E1280" s="6" t="s">
        <v>3316</v>
      </c>
      <c r="F1280" s="6" t="s">
        <v>3481</v>
      </c>
      <c r="G1280" s="6" t="s">
        <v>16</v>
      </c>
      <c r="H1280" s="5">
        <v>6</v>
      </c>
      <c r="I1280" s="6" t="s">
        <v>3482</v>
      </c>
      <c r="J1280" s="5">
        <v>1465</v>
      </c>
    </row>
    <row r="1281" s="2" customFormat="1" spans="1:10">
      <c r="A1281" s="6">
        <f>1279</f>
        <v>1279</v>
      </c>
      <c r="B1281" s="6" t="s">
        <v>3483</v>
      </c>
      <c r="C1281" s="6" t="s">
        <v>12</v>
      </c>
      <c r="D1281" s="6" t="s">
        <v>2281</v>
      </c>
      <c r="E1281" s="6" t="s">
        <v>3316</v>
      </c>
      <c r="F1281" s="6" t="s">
        <v>3484</v>
      </c>
      <c r="G1281" s="6" t="s">
        <v>16</v>
      </c>
      <c r="H1281" s="5">
        <v>3</v>
      </c>
      <c r="I1281" s="6" t="s">
        <v>3485</v>
      </c>
      <c r="J1281" s="5">
        <v>1140</v>
      </c>
    </row>
    <row r="1282" s="2" customFormat="1" spans="1:10">
      <c r="A1282" s="6">
        <f>1280</f>
        <v>1280</v>
      </c>
      <c r="B1282" s="6" t="s">
        <v>3486</v>
      </c>
      <c r="C1282" s="6" t="s">
        <v>12</v>
      </c>
      <c r="D1282" s="6" t="s">
        <v>2281</v>
      </c>
      <c r="E1282" s="6" t="s">
        <v>3316</v>
      </c>
      <c r="F1282" s="6" t="s">
        <v>3487</v>
      </c>
      <c r="G1282" s="6" t="s">
        <v>16</v>
      </c>
      <c r="H1282" s="5">
        <v>2</v>
      </c>
      <c r="I1282" s="6" t="s">
        <v>3488</v>
      </c>
      <c r="J1282" s="5">
        <v>306</v>
      </c>
    </row>
    <row r="1283" s="2" customFormat="1" spans="1:10">
      <c r="A1283" s="6">
        <f>1281</f>
        <v>1281</v>
      </c>
      <c r="B1283" s="6" t="s">
        <v>3489</v>
      </c>
      <c r="C1283" s="6" t="s">
        <v>12</v>
      </c>
      <c r="D1283" s="6" t="s">
        <v>2281</v>
      </c>
      <c r="E1283" s="6" t="s">
        <v>3316</v>
      </c>
      <c r="F1283" s="6" t="s">
        <v>3490</v>
      </c>
      <c r="G1283" s="6" t="s">
        <v>16</v>
      </c>
      <c r="H1283" s="5">
        <v>3</v>
      </c>
      <c r="I1283" s="6" t="s">
        <v>3491</v>
      </c>
      <c r="J1283" s="5">
        <v>480</v>
      </c>
    </row>
    <row r="1284" s="2" customFormat="1" ht="27" spans="1:10">
      <c r="A1284" s="6">
        <f>1282</f>
        <v>1282</v>
      </c>
      <c r="B1284" s="6" t="s">
        <v>3492</v>
      </c>
      <c r="C1284" s="6" t="s">
        <v>12</v>
      </c>
      <c r="D1284" s="6" t="s">
        <v>2281</v>
      </c>
      <c r="E1284" s="6" t="s">
        <v>3316</v>
      </c>
      <c r="F1284" s="6" t="s">
        <v>3493</v>
      </c>
      <c r="G1284" s="6" t="s">
        <v>16</v>
      </c>
      <c r="H1284" s="5">
        <v>4</v>
      </c>
      <c r="I1284" s="6" t="s">
        <v>3494</v>
      </c>
      <c r="J1284" s="5">
        <v>1195</v>
      </c>
    </row>
    <row r="1285" s="2" customFormat="1" spans="1:10">
      <c r="A1285" s="6">
        <f>1283</f>
        <v>1283</v>
      </c>
      <c r="B1285" s="6" t="s">
        <v>3495</v>
      </c>
      <c r="C1285" s="6" t="s">
        <v>12</v>
      </c>
      <c r="D1285" s="6" t="s">
        <v>2281</v>
      </c>
      <c r="E1285" s="6" t="s">
        <v>3316</v>
      </c>
      <c r="F1285" s="6" t="s">
        <v>3496</v>
      </c>
      <c r="G1285" s="6" t="s">
        <v>16</v>
      </c>
      <c r="H1285" s="5">
        <v>3</v>
      </c>
      <c r="I1285" s="6" t="s">
        <v>3497</v>
      </c>
      <c r="J1285" s="5">
        <v>460</v>
      </c>
    </row>
    <row r="1286" s="2" customFormat="1" spans="1:10">
      <c r="A1286" s="6">
        <f>1284</f>
        <v>1284</v>
      </c>
      <c r="B1286" s="6" t="s">
        <v>3498</v>
      </c>
      <c r="C1286" s="6" t="s">
        <v>12</v>
      </c>
      <c r="D1286" s="6" t="s">
        <v>2281</v>
      </c>
      <c r="E1286" s="6" t="s">
        <v>3316</v>
      </c>
      <c r="F1286" s="6" t="s">
        <v>3499</v>
      </c>
      <c r="G1286" s="6" t="s">
        <v>16</v>
      </c>
      <c r="H1286" s="5">
        <v>1</v>
      </c>
      <c r="I1286" s="6" t="s">
        <v>3499</v>
      </c>
      <c r="J1286" s="5">
        <v>198</v>
      </c>
    </row>
    <row r="1287" s="2" customFormat="1" spans="1:10">
      <c r="A1287" s="6">
        <f>1285</f>
        <v>1285</v>
      </c>
      <c r="B1287" s="6" t="s">
        <v>3500</v>
      </c>
      <c r="C1287" s="6" t="s">
        <v>12</v>
      </c>
      <c r="D1287" s="6" t="s">
        <v>2281</v>
      </c>
      <c r="E1287" s="6" t="s">
        <v>3316</v>
      </c>
      <c r="F1287" s="6" t="s">
        <v>3501</v>
      </c>
      <c r="G1287" s="6" t="s">
        <v>16</v>
      </c>
      <c r="H1287" s="5">
        <v>1</v>
      </c>
      <c r="I1287" s="6" t="s">
        <v>3501</v>
      </c>
      <c r="J1287" s="5">
        <v>370</v>
      </c>
    </row>
    <row r="1288" s="2" customFormat="1" spans="1:10">
      <c r="A1288" s="6">
        <f>1286</f>
        <v>1286</v>
      </c>
      <c r="B1288" s="6" t="s">
        <v>3502</v>
      </c>
      <c r="C1288" s="6" t="s">
        <v>12</v>
      </c>
      <c r="D1288" s="6" t="s">
        <v>2281</v>
      </c>
      <c r="E1288" s="6" t="s">
        <v>3316</v>
      </c>
      <c r="F1288" s="6" t="s">
        <v>3503</v>
      </c>
      <c r="G1288" s="6" t="s">
        <v>16</v>
      </c>
      <c r="H1288" s="5">
        <v>3</v>
      </c>
      <c r="I1288" s="6" t="s">
        <v>3504</v>
      </c>
      <c r="J1288" s="5">
        <v>336</v>
      </c>
    </row>
    <row r="1289" s="2" customFormat="1" ht="27" spans="1:10">
      <c r="A1289" s="6">
        <f>1287</f>
        <v>1287</v>
      </c>
      <c r="B1289" s="6" t="s">
        <v>3505</v>
      </c>
      <c r="C1289" s="6" t="s">
        <v>12</v>
      </c>
      <c r="D1289" s="6" t="s">
        <v>2281</v>
      </c>
      <c r="E1289" s="6" t="s">
        <v>3316</v>
      </c>
      <c r="F1289" s="6" t="s">
        <v>3506</v>
      </c>
      <c r="G1289" s="6" t="s">
        <v>16</v>
      </c>
      <c r="H1289" s="5">
        <v>4</v>
      </c>
      <c r="I1289" s="6" t="s">
        <v>3507</v>
      </c>
      <c r="J1289" s="5">
        <v>1068</v>
      </c>
    </row>
    <row r="1290" s="2" customFormat="1" spans="1:10">
      <c r="A1290" s="6">
        <f>1288</f>
        <v>1288</v>
      </c>
      <c r="B1290" s="6" t="s">
        <v>3508</v>
      </c>
      <c r="C1290" s="6" t="s">
        <v>12</v>
      </c>
      <c r="D1290" s="6" t="s">
        <v>2281</v>
      </c>
      <c r="E1290" s="6" t="s">
        <v>3316</v>
      </c>
      <c r="F1290" s="6" t="s">
        <v>3509</v>
      </c>
      <c r="G1290" s="6" t="s">
        <v>16</v>
      </c>
      <c r="H1290" s="5">
        <v>2</v>
      </c>
      <c r="I1290" s="6" t="s">
        <v>3510</v>
      </c>
      <c r="J1290" s="5">
        <v>220</v>
      </c>
    </row>
    <row r="1291" s="2" customFormat="1" spans="1:10">
      <c r="A1291" s="6">
        <f>1289</f>
        <v>1289</v>
      </c>
      <c r="B1291" s="6" t="s">
        <v>3511</v>
      </c>
      <c r="C1291" s="6" t="s">
        <v>12</v>
      </c>
      <c r="D1291" s="6" t="s">
        <v>2281</v>
      </c>
      <c r="E1291" s="6" t="s">
        <v>3316</v>
      </c>
      <c r="F1291" s="6" t="s">
        <v>3512</v>
      </c>
      <c r="G1291" s="6" t="s">
        <v>16</v>
      </c>
      <c r="H1291" s="5">
        <v>1</v>
      </c>
      <c r="I1291" s="6" t="s">
        <v>3512</v>
      </c>
      <c r="J1291" s="5">
        <v>370</v>
      </c>
    </row>
    <row r="1292" s="2" customFormat="1" ht="27" spans="1:10">
      <c r="A1292" s="6">
        <f>1290</f>
        <v>1290</v>
      </c>
      <c r="B1292" s="6" t="s">
        <v>3513</v>
      </c>
      <c r="C1292" s="6" t="s">
        <v>12</v>
      </c>
      <c r="D1292" s="6" t="s">
        <v>2281</v>
      </c>
      <c r="E1292" s="6" t="s">
        <v>3316</v>
      </c>
      <c r="F1292" s="6" t="s">
        <v>3514</v>
      </c>
      <c r="G1292" s="6" t="s">
        <v>16</v>
      </c>
      <c r="H1292" s="5">
        <v>4</v>
      </c>
      <c r="I1292" s="6" t="s">
        <v>3515</v>
      </c>
      <c r="J1292" s="5">
        <v>1208</v>
      </c>
    </row>
    <row r="1293" s="2" customFormat="1" spans="1:10">
      <c r="A1293" s="6">
        <f>1291</f>
        <v>1291</v>
      </c>
      <c r="B1293" s="6" t="s">
        <v>3516</v>
      </c>
      <c r="C1293" s="6" t="s">
        <v>12</v>
      </c>
      <c r="D1293" s="6" t="s">
        <v>2281</v>
      </c>
      <c r="E1293" s="6" t="s">
        <v>3316</v>
      </c>
      <c r="F1293" s="6" t="s">
        <v>3517</v>
      </c>
      <c r="G1293" s="6" t="s">
        <v>16</v>
      </c>
      <c r="H1293" s="5">
        <v>3</v>
      </c>
      <c r="I1293" s="6" t="s">
        <v>3518</v>
      </c>
      <c r="J1293" s="5">
        <v>990</v>
      </c>
    </row>
    <row r="1294" s="2" customFormat="1" ht="27" spans="1:10">
      <c r="A1294" s="6">
        <f>1292</f>
        <v>1292</v>
      </c>
      <c r="B1294" s="6" t="s">
        <v>3519</v>
      </c>
      <c r="C1294" s="6" t="s">
        <v>12</v>
      </c>
      <c r="D1294" s="6" t="s">
        <v>2281</v>
      </c>
      <c r="E1294" s="6" t="s">
        <v>3316</v>
      </c>
      <c r="F1294" s="6" t="s">
        <v>3520</v>
      </c>
      <c r="G1294" s="6" t="s">
        <v>16</v>
      </c>
      <c r="H1294" s="5">
        <v>6</v>
      </c>
      <c r="I1294" s="6" t="s">
        <v>3521</v>
      </c>
      <c r="J1294" s="5">
        <v>1000</v>
      </c>
    </row>
    <row r="1295" s="2" customFormat="1" spans="1:10">
      <c r="A1295" s="6">
        <f>1293</f>
        <v>1293</v>
      </c>
      <c r="B1295" s="6" t="s">
        <v>3522</v>
      </c>
      <c r="C1295" s="6" t="s">
        <v>12</v>
      </c>
      <c r="D1295" s="6" t="s">
        <v>2281</v>
      </c>
      <c r="E1295" s="6" t="s">
        <v>3316</v>
      </c>
      <c r="F1295" s="6" t="s">
        <v>3523</v>
      </c>
      <c r="G1295" s="6" t="s">
        <v>16</v>
      </c>
      <c r="H1295" s="5">
        <v>3</v>
      </c>
      <c r="I1295" s="6" t="s">
        <v>3524</v>
      </c>
      <c r="J1295" s="5">
        <v>962</v>
      </c>
    </row>
    <row r="1296" s="2" customFormat="1" spans="1:10">
      <c r="A1296" s="6">
        <f>1294</f>
        <v>1294</v>
      </c>
      <c r="B1296" s="6" t="s">
        <v>3525</v>
      </c>
      <c r="C1296" s="6" t="s">
        <v>12</v>
      </c>
      <c r="D1296" s="6" t="s">
        <v>2281</v>
      </c>
      <c r="E1296" s="6" t="s">
        <v>3316</v>
      </c>
      <c r="F1296" s="6" t="s">
        <v>3526</v>
      </c>
      <c r="G1296" s="6" t="s">
        <v>16</v>
      </c>
      <c r="H1296" s="5">
        <v>1</v>
      </c>
      <c r="I1296" s="6" t="s">
        <v>3526</v>
      </c>
      <c r="J1296" s="5">
        <v>395</v>
      </c>
    </row>
    <row r="1297" s="2" customFormat="1" spans="1:10">
      <c r="A1297" s="6">
        <f>1295</f>
        <v>1295</v>
      </c>
      <c r="B1297" s="6" t="s">
        <v>3527</v>
      </c>
      <c r="C1297" s="6" t="s">
        <v>12</v>
      </c>
      <c r="D1297" s="6" t="s">
        <v>2281</v>
      </c>
      <c r="E1297" s="6" t="s">
        <v>3316</v>
      </c>
      <c r="F1297" s="6" t="s">
        <v>3528</v>
      </c>
      <c r="G1297" s="6" t="s">
        <v>16</v>
      </c>
      <c r="H1297" s="5">
        <v>2</v>
      </c>
      <c r="I1297" s="6" t="s">
        <v>3529</v>
      </c>
      <c r="J1297" s="5">
        <v>580</v>
      </c>
    </row>
    <row r="1298" s="2" customFormat="1" spans="1:10">
      <c r="A1298" s="6">
        <f>1296</f>
        <v>1296</v>
      </c>
      <c r="B1298" s="6" t="s">
        <v>3530</v>
      </c>
      <c r="C1298" s="6" t="s">
        <v>12</v>
      </c>
      <c r="D1298" s="6" t="s">
        <v>2281</v>
      </c>
      <c r="E1298" s="6" t="s">
        <v>3316</v>
      </c>
      <c r="F1298" s="6" t="s">
        <v>3531</v>
      </c>
      <c r="G1298" s="6" t="s">
        <v>16</v>
      </c>
      <c r="H1298" s="5">
        <v>2</v>
      </c>
      <c r="I1298" s="6" t="s">
        <v>3532</v>
      </c>
      <c r="J1298" s="5">
        <v>580</v>
      </c>
    </row>
    <row r="1299" s="2" customFormat="1" spans="1:10">
      <c r="A1299" s="6">
        <f>1297</f>
        <v>1297</v>
      </c>
      <c r="B1299" s="6" t="s">
        <v>3533</v>
      </c>
      <c r="C1299" s="6" t="s">
        <v>12</v>
      </c>
      <c r="D1299" s="6" t="s">
        <v>2281</v>
      </c>
      <c r="E1299" s="6" t="s">
        <v>3316</v>
      </c>
      <c r="F1299" s="6" t="s">
        <v>3534</v>
      </c>
      <c r="G1299" s="6" t="s">
        <v>16</v>
      </c>
      <c r="H1299" s="5">
        <v>2</v>
      </c>
      <c r="I1299" s="6" t="s">
        <v>3535</v>
      </c>
      <c r="J1299" s="5">
        <v>518</v>
      </c>
    </row>
    <row r="1300" s="2" customFormat="1" spans="1:10">
      <c r="A1300" s="6">
        <f>1298</f>
        <v>1298</v>
      </c>
      <c r="B1300" s="6" t="s">
        <v>3536</v>
      </c>
      <c r="C1300" s="6" t="s">
        <v>12</v>
      </c>
      <c r="D1300" s="6" t="s">
        <v>2281</v>
      </c>
      <c r="E1300" s="6" t="s">
        <v>3316</v>
      </c>
      <c r="F1300" s="6" t="s">
        <v>3537</v>
      </c>
      <c r="G1300" s="6" t="s">
        <v>16</v>
      </c>
      <c r="H1300" s="5">
        <v>1</v>
      </c>
      <c r="I1300" s="6" t="s">
        <v>3537</v>
      </c>
      <c r="J1300" s="5">
        <v>178</v>
      </c>
    </row>
    <row r="1301" s="2" customFormat="1" spans="1:10">
      <c r="A1301" s="6">
        <f>1299</f>
        <v>1299</v>
      </c>
      <c r="B1301" s="6" t="s">
        <v>3538</v>
      </c>
      <c r="C1301" s="6" t="s">
        <v>12</v>
      </c>
      <c r="D1301" s="6" t="s">
        <v>2281</v>
      </c>
      <c r="E1301" s="6" t="s">
        <v>3316</v>
      </c>
      <c r="F1301" s="6" t="s">
        <v>3539</v>
      </c>
      <c r="G1301" s="6" t="s">
        <v>16</v>
      </c>
      <c r="H1301" s="5">
        <v>1</v>
      </c>
      <c r="I1301" s="6" t="s">
        <v>3539</v>
      </c>
      <c r="J1301" s="5">
        <v>228</v>
      </c>
    </row>
    <row r="1302" s="2" customFormat="1" ht="27" spans="1:10">
      <c r="A1302" s="6">
        <f>1300</f>
        <v>1300</v>
      </c>
      <c r="B1302" s="6" t="s">
        <v>3540</v>
      </c>
      <c r="C1302" s="6" t="s">
        <v>12</v>
      </c>
      <c r="D1302" s="6" t="s">
        <v>2281</v>
      </c>
      <c r="E1302" s="6" t="s">
        <v>3316</v>
      </c>
      <c r="F1302" s="6" t="s">
        <v>3541</v>
      </c>
      <c r="G1302" s="6" t="s">
        <v>16</v>
      </c>
      <c r="H1302" s="5">
        <v>4</v>
      </c>
      <c r="I1302" s="6" t="s">
        <v>3542</v>
      </c>
      <c r="J1302" s="5">
        <v>920</v>
      </c>
    </row>
    <row r="1303" s="2" customFormat="1" spans="1:10">
      <c r="A1303" s="6">
        <f>1301</f>
        <v>1301</v>
      </c>
      <c r="B1303" s="6" t="s">
        <v>3543</v>
      </c>
      <c r="C1303" s="6" t="s">
        <v>12</v>
      </c>
      <c r="D1303" s="6" t="s">
        <v>2281</v>
      </c>
      <c r="E1303" s="6" t="s">
        <v>3316</v>
      </c>
      <c r="F1303" s="6" t="s">
        <v>3544</v>
      </c>
      <c r="G1303" s="6" t="s">
        <v>16</v>
      </c>
      <c r="H1303" s="5">
        <v>1</v>
      </c>
      <c r="I1303" s="6" t="s">
        <v>3544</v>
      </c>
      <c r="J1303" s="5">
        <v>305</v>
      </c>
    </row>
    <row r="1304" s="2" customFormat="1" ht="27" spans="1:10">
      <c r="A1304" s="6">
        <f>1302</f>
        <v>1302</v>
      </c>
      <c r="B1304" s="6" t="s">
        <v>3545</v>
      </c>
      <c r="C1304" s="6" t="s">
        <v>12</v>
      </c>
      <c r="D1304" s="6" t="s">
        <v>2281</v>
      </c>
      <c r="E1304" s="6" t="s">
        <v>3316</v>
      </c>
      <c r="F1304" s="6" t="s">
        <v>3546</v>
      </c>
      <c r="G1304" s="6" t="s">
        <v>16</v>
      </c>
      <c r="H1304" s="5">
        <v>6</v>
      </c>
      <c r="I1304" s="6" t="s">
        <v>3547</v>
      </c>
      <c r="J1304" s="5">
        <v>1304</v>
      </c>
    </row>
    <row r="1305" s="2" customFormat="1" spans="1:10">
      <c r="A1305" s="6">
        <f>1303</f>
        <v>1303</v>
      </c>
      <c r="B1305" s="6" t="s">
        <v>3548</v>
      </c>
      <c r="C1305" s="6" t="s">
        <v>12</v>
      </c>
      <c r="D1305" s="6" t="s">
        <v>2281</v>
      </c>
      <c r="E1305" s="6" t="s">
        <v>3316</v>
      </c>
      <c r="F1305" s="6" t="s">
        <v>3549</v>
      </c>
      <c r="G1305" s="6" t="s">
        <v>16</v>
      </c>
      <c r="H1305" s="5">
        <v>3</v>
      </c>
      <c r="I1305" s="6" t="s">
        <v>3550</v>
      </c>
      <c r="J1305" s="5">
        <v>570</v>
      </c>
    </row>
    <row r="1306" s="2" customFormat="1" ht="27" spans="1:10">
      <c r="A1306" s="6">
        <f>1304</f>
        <v>1304</v>
      </c>
      <c r="B1306" s="6" t="s">
        <v>3551</v>
      </c>
      <c r="C1306" s="6" t="s">
        <v>12</v>
      </c>
      <c r="D1306" s="6" t="s">
        <v>2281</v>
      </c>
      <c r="E1306" s="6" t="s">
        <v>3316</v>
      </c>
      <c r="F1306" s="6" t="s">
        <v>3552</v>
      </c>
      <c r="G1306" s="6" t="s">
        <v>16</v>
      </c>
      <c r="H1306" s="5">
        <v>6</v>
      </c>
      <c r="I1306" s="6" t="s">
        <v>3553</v>
      </c>
      <c r="J1306" s="5">
        <v>1377</v>
      </c>
    </row>
    <row r="1307" s="2" customFormat="1" ht="27" spans="1:10">
      <c r="A1307" s="6">
        <f>1305</f>
        <v>1305</v>
      </c>
      <c r="B1307" s="6" t="s">
        <v>3554</v>
      </c>
      <c r="C1307" s="6" t="s">
        <v>12</v>
      </c>
      <c r="D1307" s="6" t="s">
        <v>2281</v>
      </c>
      <c r="E1307" s="6" t="s">
        <v>3316</v>
      </c>
      <c r="F1307" s="6" t="s">
        <v>3555</v>
      </c>
      <c r="G1307" s="6" t="s">
        <v>16</v>
      </c>
      <c r="H1307" s="5">
        <v>4</v>
      </c>
      <c r="I1307" s="6" t="s">
        <v>3556</v>
      </c>
      <c r="J1307" s="5">
        <v>670</v>
      </c>
    </row>
    <row r="1308" s="2" customFormat="1" ht="27" spans="1:10">
      <c r="A1308" s="6">
        <f>1306</f>
        <v>1306</v>
      </c>
      <c r="B1308" s="6" t="s">
        <v>3557</v>
      </c>
      <c r="C1308" s="6" t="s">
        <v>12</v>
      </c>
      <c r="D1308" s="6" t="s">
        <v>2281</v>
      </c>
      <c r="E1308" s="6" t="s">
        <v>3316</v>
      </c>
      <c r="F1308" s="6" t="s">
        <v>3558</v>
      </c>
      <c r="G1308" s="6" t="s">
        <v>16</v>
      </c>
      <c r="H1308" s="5">
        <v>6</v>
      </c>
      <c r="I1308" s="6" t="s">
        <v>3559</v>
      </c>
      <c r="J1308" s="5">
        <v>975</v>
      </c>
    </row>
    <row r="1309" s="2" customFormat="1" ht="27" spans="1:10">
      <c r="A1309" s="6">
        <f>1307</f>
        <v>1307</v>
      </c>
      <c r="B1309" s="6" t="s">
        <v>3560</v>
      </c>
      <c r="C1309" s="6" t="s">
        <v>12</v>
      </c>
      <c r="D1309" s="6" t="s">
        <v>2281</v>
      </c>
      <c r="E1309" s="6" t="s">
        <v>3316</v>
      </c>
      <c r="F1309" s="6" t="s">
        <v>3561</v>
      </c>
      <c r="G1309" s="6" t="s">
        <v>16</v>
      </c>
      <c r="H1309" s="5">
        <v>5</v>
      </c>
      <c r="I1309" s="6" t="s">
        <v>3562</v>
      </c>
      <c r="J1309" s="5">
        <v>534</v>
      </c>
    </row>
    <row r="1310" s="2" customFormat="1" spans="1:10">
      <c r="A1310" s="6">
        <f>1308</f>
        <v>1308</v>
      </c>
      <c r="B1310" s="6" t="s">
        <v>3563</v>
      </c>
      <c r="C1310" s="6" t="s">
        <v>12</v>
      </c>
      <c r="D1310" s="6" t="s">
        <v>2281</v>
      </c>
      <c r="E1310" s="6" t="s">
        <v>3316</v>
      </c>
      <c r="F1310" s="6" t="s">
        <v>3564</v>
      </c>
      <c r="G1310" s="6" t="s">
        <v>16</v>
      </c>
      <c r="H1310" s="5">
        <v>1</v>
      </c>
      <c r="I1310" s="6" t="s">
        <v>3564</v>
      </c>
      <c r="J1310" s="5">
        <v>395</v>
      </c>
    </row>
    <row r="1311" s="2" customFormat="1" spans="1:10">
      <c r="A1311" s="6">
        <f>1309</f>
        <v>1309</v>
      </c>
      <c r="B1311" s="6" t="s">
        <v>3565</v>
      </c>
      <c r="C1311" s="6" t="s">
        <v>12</v>
      </c>
      <c r="D1311" s="6" t="s">
        <v>2281</v>
      </c>
      <c r="E1311" s="6" t="s">
        <v>3316</v>
      </c>
      <c r="F1311" s="6" t="s">
        <v>3566</v>
      </c>
      <c r="G1311" s="6" t="s">
        <v>16</v>
      </c>
      <c r="H1311" s="5">
        <v>1</v>
      </c>
      <c r="I1311" s="6" t="s">
        <v>3566</v>
      </c>
      <c r="J1311" s="5">
        <v>287</v>
      </c>
    </row>
    <row r="1312" s="2" customFormat="1" spans="1:10">
      <c r="A1312" s="6">
        <f>1310</f>
        <v>1310</v>
      </c>
      <c r="B1312" s="6" t="s">
        <v>3567</v>
      </c>
      <c r="C1312" s="6" t="s">
        <v>12</v>
      </c>
      <c r="D1312" s="6" t="s">
        <v>2281</v>
      </c>
      <c r="E1312" s="6" t="s">
        <v>3316</v>
      </c>
      <c r="F1312" s="6" t="s">
        <v>3568</v>
      </c>
      <c r="G1312" s="6" t="s">
        <v>16</v>
      </c>
      <c r="H1312" s="5">
        <v>2</v>
      </c>
      <c r="I1312" s="6" t="s">
        <v>3569</v>
      </c>
      <c r="J1312" s="5">
        <v>467</v>
      </c>
    </row>
    <row r="1313" s="2" customFormat="1" ht="27" spans="1:10">
      <c r="A1313" s="6">
        <f>1311</f>
        <v>1311</v>
      </c>
      <c r="B1313" s="6" t="s">
        <v>3570</v>
      </c>
      <c r="C1313" s="6" t="s">
        <v>12</v>
      </c>
      <c r="D1313" s="6" t="s">
        <v>2281</v>
      </c>
      <c r="E1313" s="6" t="s">
        <v>3316</v>
      </c>
      <c r="F1313" s="6" t="s">
        <v>3571</v>
      </c>
      <c r="G1313" s="6" t="s">
        <v>16</v>
      </c>
      <c r="H1313" s="5">
        <v>6</v>
      </c>
      <c r="I1313" s="6" t="s">
        <v>3572</v>
      </c>
      <c r="J1313" s="5">
        <v>760</v>
      </c>
    </row>
    <row r="1314" s="2" customFormat="1" ht="27" spans="1:10">
      <c r="A1314" s="6">
        <f>1312</f>
        <v>1312</v>
      </c>
      <c r="B1314" s="6" t="s">
        <v>3573</v>
      </c>
      <c r="C1314" s="6" t="s">
        <v>12</v>
      </c>
      <c r="D1314" s="6" t="s">
        <v>3574</v>
      </c>
      <c r="E1314" s="6" t="s">
        <v>3575</v>
      </c>
      <c r="F1314" s="6" t="s">
        <v>3576</v>
      </c>
      <c r="G1314" s="6" t="s">
        <v>16</v>
      </c>
      <c r="H1314" s="5">
        <v>4</v>
      </c>
      <c r="I1314" s="6" t="s">
        <v>3577</v>
      </c>
      <c r="J1314" s="5">
        <v>1060</v>
      </c>
    </row>
    <row r="1315" s="2" customFormat="1" spans="1:10">
      <c r="A1315" s="6">
        <f>1313</f>
        <v>1313</v>
      </c>
      <c r="B1315" s="6" t="s">
        <v>3578</v>
      </c>
      <c r="C1315" s="6" t="s">
        <v>12</v>
      </c>
      <c r="D1315" s="6" t="s">
        <v>3574</v>
      </c>
      <c r="E1315" s="6" t="s">
        <v>3575</v>
      </c>
      <c r="F1315" s="6" t="s">
        <v>3579</v>
      </c>
      <c r="G1315" s="6" t="s">
        <v>16</v>
      </c>
      <c r="H1315" s="5">
        <v>3</v>
      </c>
      <c r="I1315" s="6" t="s">
        <v>3580</v>
      </c>
      <c r="J1315" s="5">
        <v>1320</v>
      </c>
    </row>
    <row r="1316" s="2" customFormat="1" spans="1:10">
      <c r="A1316" s="6">
        <f>1314</f>
        <v>1314</v>
      </c>
      <c r="B1316" s="6" t="s">
        <v>3581</v>
      </c>
      <c r="C1316" s="6" t="s">
        <v>12</v>
      </c>
      <c r="D1316" s="6" t="s">
        <v>3574</v>
      </c>
      <c r="E1316" s="6" t="s">
        <v>3575</v>
      </c>
      <c r="F1316" s="6" t="s">
        <v>3582</v>
      </c>
      <c r="G1316" s="6" t="s">
        <v>16</v>
      </c>
      <c r="H1316" s="5">
        <v>3</v>
      </c>
      <c r="I1316" s="6" t="s">
        <v>3583</v>
      </c>
      <c r="J1316" s="5">
        <v>1380</v>
      </c>
    </row>
    <row r="1317" s="2" customFormat="1" spans="1:10">
      <c r="A1317" s="6">
        <f>1315</f>
        <v>1315</v>
      </c>
      <c r="B1317" s="6" t="s">
        <v>3584</v>
      </c>
      <c r="C1317" s="6" t="s">
        <v>12</v>
      </c>
      <c r="D1317" s="6" t="s">
        <v>3574</v>
      </c>
      <c r="E1317" s="6" t="s">
        <v>3575</v>
      </c>
      <c r="F1317" s="6" t="s">
        <v>3585</v>
      </c>
      <c r="G1317" s="6" t="s">
        <v>16</v>
      </c>
      <c r="H1317" s="5">
        <v>2</v>
      </c>
      <c r="I1317" s="6" t="s">
        <v>3586</v>
      </c>
      <c r="J1317" s="5">
        <v>520</v>
      </c>
    </row>
    <row r="1318" s="2" customFormat="1" ht="27" spans="1:10">
      <c r="A1318" s="6">
        <f>1316</f>
        <v>1316</v>
      </c>
      <c r="B1318" s="6" t="s">
        <v>3587</v>
      </c>
      <c r="C1318" s="6" t="s">
        <v>12</v>
      </c>
      <c r="D1318" s="6" t="s">
        <v>3574</v>
      </c>
      <c r="E1318" s="6" t="s">
        <v>3575</v>
      </c>
      <c r="F1318" s="6" t="s">
        <v>3588</v>
      </c>
      <c r="G1318" s="6" t="s">
        <v>16</v>
      </c>
      <c r="H1318" s="5">
        <v>4</v>
      </c>
      <c r="I1318" s="6" t="s">
        <v>3589</v>
      </c>
      <c r="J1318" s="5">
        <v>1500</v>
      </c>
    </row>
    <row r="1319" s="2" customFormat="1" spans="1:10">
      <c r="A1319" s="6">
        <f>1317</f>
        <v>1317</v>
      </c>
      <c r="B1319" s="6" t="s">
        <v>3590</v>
      </c>
      <c r="C1319" s="6" t="s">
        <v>12</v>
      </c>
      <c r="D1319" s="6" t="s">
        <v>3574</v>
      </c>
      <c r="E1319" s="6" t="s">
        <v>3575</v>
      </c>
      <c r="F1319" s="6" t="s">
        <v>3591</v>
      </c>
      <c r="G1319" s="6" t="s">
        <v>16</v>
      </c>
      <c r="H1319" s="5">
        <v>2</v>
      </c>
      <c r="I1319" s="6" t="s">
        <v>3592</v>
      </c>
      <c r="J1319" s="5">
        <v>880</v>
      </c>
    </row>
    <row r="1320" s="2" customFormat="1" spans="1:10">
      <c r="A1320" s="6">
        <f>1318</f>
        <v>1318</v>
      </c>
      <c r="B1320" s="6" t="s">
        <v>3593</v>
      </c>
      <c r="C1320" s="6" t="s">
        <v>12</v>
      </c>
      <c r="D1320" s="6" t="s">
        <v>3574</v>
      </c>
      <c r="E1320" s="6" t="s">
        <v>3575</v>
      </c>
      <c r="F1320" s="6" t="s">
        <v>3594</v>
      </c>
      <c r="G1320" s="6" t="s">
        <v>16</v>
      </c>
      <c r="H1320" s="5">
        <v>3</v>
      </c>
      <c r="I1320" s="6" t="s">
        <v>3595</v>
      </c>
      <c r="J1320" s="5">
        <v>1450</v>
      </c>
    </row>
    <row r="1321" s="2" customFormat="1" spans="1:10">
      <c r="A1321" s="6">
        <f>1319</f>
        <v>1319</v>
      </c>
      <c r="B1321" s="6" t="s">
        <v>3596</v>
      </c>
      <c r="C1321" s="6" t="s">
        <v>12</v>
      </c>
      <c r="D1321" s="6" t="s">
        <v>3574</v>
      </c>
      <c r="E1321" s="6" t="s">
        <v>3575</v>
      </c>
      <c r="F1321" s="6" t="s">
        <v>3597</v>
      </c>
      <c r="G1321" s="6" t="s">
        <v>16</v>
      </c>
      <c r="H1321" s="5">
        <v>3</v>
      </c>
      <c r="I1321" s="6" t="s">
        <v>3598</v>
      </c>
      <c r="J1321" s="5">
        <v>780</v>
      </c>
    </row>
    <row r="1322" s="2" customFormat="1" spans="1:10">
      <c r="A1322" s="6">
        <f>1320</f>
        <v>1320</v>
      </c>
      <c r="B1322" s="6" t="s">
        <v>3599</v>
      </c>
      <c r="C1322" s="6" t="s">
        <v>12</v>
      </c>
      <c r="D1322" s="6" t="s">
        <v>3574</v>
      </c>
      <c r="E1322" s="6" t="s">
        <v>3575</v>
      </c>
      <c r="F1322" s="6" t="s">
        <v>3600</v>
      </c>
      <c r="G1322" s="6" t="s">
        <v>16</v>
      </c>
      <c r="H1322" s="5">
        <v>3</v>
      </c>
      <c r="I1322" s="6" t="s">
        <v>3601</v>
      </c>
      <c r="J1322" s="5">
        <v>750</v>
      </c>
    </row>
    <row r="1323" s="2" customFormat="1" spans="1:10">
      <c r="A1323" s="6">
        <f>1321</f>
        <v>1321</v>
      </c>
      <c r="B1323" s="6" t="s">
        <v>3602</v>
      </c>
      <c r="C1323" s="6" t="s">
        <v>12</v>
      </c>
      <c r="D1323" s="6" t="s">
        <v>3574</v>
      </c>
      <c r="E1323" s="6" t="s">
        <v>3575</v>
      </c>
      <c r="F1323" s="6" t="s">
        <v>3603</v>
      </c>
      <c r="G1323" s="6" t="s">
        <v>16</v>
      </c>
      <c r="H1323" s="5">
        <v>3</v>
      </c>
      <c r="I1323" s="6" t="s">
        <v>3604</v>
      </c>
      <c r="J1323" s="5">
        <v>720</v>
      </c>
    </row>
    <row r="1324" s="2" customFormat="1" spans="1:10">
      <c r="A1324" s="6">
        <f>1322</f>
        <v>1322</v>
      </c>
      <c r="B1324" s="6" t="s">
        <v>3605</v>
      </c>
      <c r="C1324" s="6" t="s">
        <v>12</v>
      </c>
      <c r="D1324" s="6" t="s">
        <v>3574</v>
      </c>
      <c r="E1324" s="6" t="s">
        <v>3575</v>
      </c>
      <c r="F1324" s="6" t="s">
        <v>3606</v>
      </c>
      <c r="G1324" s="6" t="s">
        <v>16</v>
      </c>
      <c r="H1324" s="5">
        <v>3</v>
      </c>
      <c r="I1324" s="6" t="s">
        <v>3607</v>
      </c>
      <c r="J1324" s="5">
        <v>1220</v>
      </c>
    </row>
    <row r="1325" s="2" customFormat="1" spans="1:10">
      <c r="A1325" s="6">
        <f>1323</f>
        <v>1323</v>
      </c>
      <c r="B1325" s="6" t="s">
        <v>3608</v>
      </c>
      <c r="C1325" s="6" t="s">
        <v>12</v>
      </c>
      <c r="D1325" s="6" t="s">
        <v>3574</v>
      </c>
      <c r="E1325" s="6" t="s">
        <v>3575</v>
      </c>
      <c r="F1325" s="6" t="s">
        <v>3609</v>
      </c>
      <c r="G1325" s="6" t="s">
        <v>16</v>
      </c>
      <c r="H1325" s="5">
        <v>1</v>
      </c>
      <c r="I1325" s="6" t="s">
        <v>3609</v>
      </c>
      <c r="J1325" s="5">
        <v>490</v>
      </c>
    </row>
    <row r="1326" s="2" customFormat="1" spans="1:10">
      <c r="A1326" s="6">
        <f>1324</f>
        <v>1324</v>
      </c>
      <c r="B1326" s="6" t="s">
        <v>3610</v>
      </c>
      <c r="C1326" s="6" t="s">
        <v>12</v>
      </c>
      <c r="D1326" s="6" t="s">
        <v>3574</v>
      </c>
      <c r="E1326" s="6" t="s">
        <v>3575</v>
      </c>
      <c r="F1326" s="6" t="s">
        <v>3611</v>
      </c>
      <c r="G1326" s="6" t="s">
        <v>16</v>
      </c>
      <c r="H1326" s="5">
        <v>2</v>
      </c>
      <c r="I1326" s="6" t="s">
        <v>3612</v>
      </c>
      <c r="J1326" s="5">
        <v>620</v>
      </c>
    </row>
    <row r="1327" s="2" customFormat="1" spans="1:10">
      <c r="A1327" s="6">
        <f>1325</f>
        <v>1325</v>
      </c>
      <c r="B1327" s="6" t="s">
        <v>3613</v>
      </c>
      <c r="C1327" s="6" t="s">
        <v>12</v>
      </c>
      <c r="D1327" s="6" t="s">
        <v>3574</v>
      </c>
      <c r="E1327" s="6" t="s">
        <v>3575</v>
      </c>
      <c r="F1327" s="6" t="s">
        <v>3614</v>
      </c>
      <c r="G1327" s="6" t="s">
        <v>16</v>
      </c>
      <c r="H1327" s="5">
        <v>1</v>
      </c>
      <c r="I1327" s="6" t="s">
        <v>3614</v>
      </c>
      <c r="J1327" s="5">
        <v>330</v>
      </c>
    </row>
    <row r="1328" s="2" customFormat="1" ht="27" spans="1:10">
      <c r="A1328" s="6">
        <f>1326</f>
        <v>1326</v>
      </c>
      <c r="B1328" s="6" t="s">
        <v>3615</v>
      </c>
      <c r="C1328" s="6" t="s">
        <v>12</v>
      </c>
      <c r="D1328" s="6" t="s">
        <v>3574</v>
      </c>
      <c r="E1328" s="6" t="s">
        <v>3575</v>
      </c>
      <c r="F1328" s="6" t="s">
        <v>3616</v>
      </c>
      <c r="G1328" s="6" t="s">
        <v>16</v>
      </c>
      <c r="H1328" s="5">
        <v>4</v>
      </c>
      <c r="I1328" s="6" t="s">
        <v>3617</v>
      </c>
      <c r="J1328" s="5">
        <v>660</v>
      </c>
    </row>
    <row r="1329" s="2" customFormat="1" spans="1:10">
      <c r="A1329" s="6">
        <f>1327</f>
        <v>1327</v>
      </c>
      <c r="B1329" s="6" t="s">
        <v>3618</v>
      </c>
      <c r="C1329" s="6" t="s">
        <v>12</v>
      </c>
      <c r="D1329" s="6" t="s">
        <v>3574</v>
      </c>
      <c r="E1329" s="6" t="s">
        <v>3575</v>
      </c>
      <c r="F1329" s="6" t="s">
        <v>3619</v>
      </c>
      <c r="G1329" s="6" t="s">
        <v>16</v>
      </c>
      <c r="H1329" s="5">
        <v>1</v>
      </c>
      <c r="I1329" s="6" t="s">
        <v>3619</v>
      </c>
      <c r="J1329" s="5">
        <v>460</v>
      </c>
    </row>
    <row r="1330" s="2" customFormat="1" spans="1:10">
      <c r="A1330" s="6">
        <f>1328</f>
        <v>1328</v>
      </c>
      <c r="B1330" s="6" t="s">
        <v>3620</v>
      </c>
      <c r="C1330" s="6" t="s">
        <v>12</v>
      </c>
      <c r="D1330" s="6" t="s">
        <v>3574</v>
      </c>
      <c r="E1330" s="6" t="s">
        <v>3575</v>
      </c>
      <c r="F1330" s="6" t="s">
        <v>3621</v>
      </c>
      <c r="G1330" s="6" t="s">
        <v>16</v>
      </c>
      <c r="H1330" s="5">
        <v>2</v>
      </c>
      <c r="I1330" s="6" t="s">
        <v>3622</v>
      </c>
      <c r="J1330" s="5">
        <v>720</v>
      </c>
    </row>
    <row r="1331" s="2" customFormat="1" spans="1:10">
      <c r="A1331" s="6">
        <f>1329</f>
        <v>1329</v>
      </c>
      <c r="B1331" s="6" t="s">
        <v>3623</v>
      </c>
      <c r="C1331" s="6" t="s">
        <v>12</v>
      </c>
      <c r="D1331" s="6" t="s">
        <v>3574</v>
      </c>
      <c r="E1331" s="6" t="s">
        <v>3575</v>
      </c>
      <c r="F1331" s="6" t="s">
        <v>3624</v>
      </c>
      <c r="G1331" s="6" t="s">
        <v>16</v>
      </c>
      <c r="H1331" s="5">
        <v>2</v>
      </c>
      <c r="I1331" s="6" t="s">
        <v>3625</v>
      </c>
      <c r="J1331" s="5">
        <v>566</v>
      </c>
    </row>
    <row r="1332" s="2" customFormat="1" spans="1:10">
      <c r="A1332" s="6">
        <f>1330</f>
        <v>1330</v>
      </c>
      <c r="B1332" s="6" t="s">
        <v>3626</v>
      </c>
      <c r="C1332" s="6" t="s">
        <v>12</v>
      </c>
      <c r="D1332" s="6" t="s">
        <v>3574</v>
      </c>
      <c r="E1332" s="6" t="s">
        <v>3575</v>
      </c>
      <c r="F1332" s="6" t="s">
        <v>3627</v>
      </c>
      <c r="G1332" s="6" t="s">
        <v>16</v>
      </c>
      <c r="H1332" s="5">
        <v>2</v>
      </c>
      <c r="I1332" s="6" t="s">
        <v>3628</v>
      </c>
      <c r="J1332" s="5">
        <v>970</v>
      </c>
    </row>
    <row r="1333" s="2" customFormat="1" spans="1:10">
      <c r="A1333" s="6">
        <f>1331</f>
        <v>1331</v>
      </c>
      <c r="B1333" s="6" t="s">
        <v>3629</v>
      </c>
      <c r="C1333" s="6" t="s">
        <v>12</v>
      </c>
      <c r="D1333" s="6" t="s">
        <v>3574</v>
      </c>
      <c r="E1333" s="6" t="s">
        <v>3575</v>
      </c>
      <c r="F1333" s="6" t="s">
        <v>3630</v>
      </c>
      <c r="G1333" s="6" t="s">
        <v>16</v>
      </c>
      <c r="H1333" s="5">
        <v>1</v>
      </c>
      <c r="I1333" s="6" t="s">
        <v>3630</v>
      </c>
      <c r="J1333" s="5">
        <v>280</v>
      </c>
    </row>
    <row r="1334" s="2" customFormat="1" spans="1:10">
      <c r="A1334" s="6">
        <f>1332</f>
        <v>1332</v>
      </c>
      <c r="B1334" s="6" t="s">
        <v>3631</v>
      </c>
      <c r="C1334" s="6" t="s">
        <v>12</v>
      </c>
      <c r="D1334" s="6" t="s">
        <v>3574</v>
      </c>
      <c r="E1334" s="6" t="s">
        <v>3575</v>
      </c>
      <c r="F1334" s="6" t="s">
        <v>3632</v>
      </c>
      <c r="G1334" s="6" t="s">
        <v>16</v>
      </c>
      <c r="H1334" s="5">
        <v>3</v>
      </c>
      <c r="I1334" s="6" t="s">
        <v>3633</v>
      </c>
      <c r="J1334" s="5">
        <v>830</v>
      </c>
    </row>
    <row r="1335" s="2" customFormat="1" spans="1:10">
      <c r="A1335" s="6">
        <f>1333</f>
        <v>1333</v>
      </c>
      <c r="B1335" s="6" t="s">
        <v>3634</v>
      </c>
      <c r="C1335" s="6" t="s">
        <v>12</v>
      </c>
      <c r="D1335" s="6" t="s">
        <v>3574</v>
      </c>
      <c r="E1335" s="6" t="s">
        <v>3575</v>
      </c>
      <c r="F1335" s="6" t="s">
        <v>3635</v>
      </c>
      <c r="G1335" s="6" t="s">
        <v>16</v>
      </c>
      <c r="H1335" s="5">
        <v>3</v>
      </c>
      <c r="I1335" s="6" t="s">
        <v>3636</v>
      </c>
      <c r="J1335" s="5">
        <v>1020</v>
      </c>
    </row>
    <row r="1336" s="2" customFormat="1" spans="1:10">
      <c r="A1336" s="6">
        <f>1334</f>
        <v>1334</v>
      </c>
      <c r="B1336" s="6" t="s">
        <v>3637</v>
      </c>
      <c r="C1336" s="6" t="s">
        <v>12</v>
      </c>
      <c r="D1336" s="6" t="s">
        <v>3574</v>
      </c>
      <c r="E1336" s="6" t="s">
        <v>3575</v>
      </c>
      <c r="F1336" s="6" t="s">
        <v>3638</v>
      </c>
      <c r="G1336" s="6" t="s">
        <v>16</v>
      </c>
      <c r="H1336" s="5">
        <v>1</v>
      </c>
      <c r="I1336" s="6" t="s">
        <v>3638</v>
      </c>
      <c r="J1336" s="5">
        <v>330</v>
      </c>
    </row>
    <row r="1337" s="2" customFormat="1" spans="1:10">
      <c r="A1337" s="6">
        <f>1335</f>
        <v>1335</v>
      </c>
      <c r="B1337" s="6" t="s">
        <v>3639</v>
      </c>
      <c r="C1337" s="6" t="s">
        <v>12</v>
      </c>
      <c r="D1337" s="6" t="s">
        <v>3574</v>
      </c>
      <c r="E1337" s="6" t="s">
        <v>3575</v>
      </c>
      <c r="F1337" s="6" t="s">
        <v>3640</v>
      </c>
      <c r="G1337" s="6" t="s">
        <v>16</v>
      </c>
      <c r="H1337" s="5">
        <v>2</v>
      </c>
      <c r="I1337" s="6" t="s">
        <v>3641</v>
      </c>
      <c r="J1337" s="5">
        <v>570</v>
      </c>
    </row>
    <row r="1338" s="2" customFormat="1" spans="1:10">
      <c r="A1338" s="6">
        <f>1336</f>
        <v>1336</v>
      </c>
      <c r="B1338" s="6" t="s">
        <v>3642</v>
      </c>
      <c r="C1338" s="6" t="s">
        <v>12</v>
      </c>
      <c r="D1338" s="6" t="s">
        <v>3574</v>
      </c>
      <c r="E1338" s="6" t="s">
        <v>3575</v>
      </c>
      <c r="F1338" s="6" t="s">
        <v>3643</v>
      </c>
      <c r="G1338" s="6" t="s">
        <v>16</v>
      </c>
      <c r="H1338" s="5">
        <v>1</v>
      </c>
      <c r="I1338" s="6" t="s">
        <v>3643</v>
      </c>
      <c r="J1338" s="5">
        <v>390</v>
      </c>
    </row>
    <row r="1339" s="2" customFormat="1" ht="27" spans="1:10">
      <c r="A1339" s="6">
        <f>1337</f>
        <v>1337</v>
      </c>
      <c r="B1339" s="6" t="s">
        <v>3644</v>
      </c>
      <c r="C1339" s="6" t="s">
        <v>12</v>
      </c>
      <c r="D1339" s="6" t="s">
        <v>3574</v>
      </c>
      <c r="E1339" s="6" t="s">
        <v>3575</v>
      </c>
      <c r="F1339" s="6" t="s">
        <v>3645</v>
      </c>
      <c r="G1339" s="6" t="s">
        <v>16</v>
      </c>
      <c r="H1339" s="5">
        <v>4</v>
      </c>
      <c r="I1339" s="6" t="s">
        <v>3646</v>
      </c>
      <c r="J1339" s="5">
        <v>960</v>
      </c>
    </row>
    <row r="1340" s="2" customFormat="1" spans="1:10">
      <c r="A1340" s="6">
        <f>1338</f>
        <v>1338</v>
      </c>
      <c r="B1340" s="6" t="s">
        <v>3647</v>
      </c>
      <c r="C1340" s="6" t="s">
        <v>12</v>
      </c>
      <c r="D1340" s="6" t="s">
        <v>3574</v>
      </c>
      <c r="E1340" s="6" t="s">
        <v>3575</v>
      </c>
      <c r="F1340" s="6" t="s">
        <v>3648</v>
      </c>
      <c r="G1340" s="6" t="s">
        <v>16</v>
      </c>
      <c r="H1340" s="5">
        <v>1</v>
      </c>
      <c r="I1340" s="6" t="s">
        <v>3648</v>
      </c>
      <c r="J1340" s="5">
        <v>330</v>
      </c>
    </row>
    <row r="1341" s="2" customFormat="1" spans="1:10">
      <c r="A1341" s="6">
        <f>1339</f>
        <v>1339</v>
      </c>
      <c r="B1341" s="6" t="s">
        <v>3649</v>
      </c>
      <c r="C1341" s="6" t="s">
        <v>12</v>
      </c>
      <c r="D1341" s="6" t="s">
        <v>3574</v>
      </c>
      <c r="E1341" s="6" t="s">
        <v>3575</v>
      </c>
      <c r="F1341" s="6" t="s">
        <v>3650</v>
      </c>
      <c r="G1341" s="6" t="s">
        <v>16</v>
      </c>
      <c r="H1341" s="5">
        <v>1</v>
      </c>
      <c r="I1341" s="6" t="s">
        <v>3650</v>
      </c>
      <c r="J1341" s="5">
        <v>240</v>
      </c>
    </row>
    <row r="1342" s="2" customFormat="1" spans="1:10">
      <c r="A1342" s="6">
        <f>1340</f>
        <v>1340</v>
      </c>
      <c r="B1342" s="6" t="s">
        <v>3651</v>
      </c>
      <c r="C1342" s="6" t="s">
        <v>12</v>
      </c>
      <c r="D1342" s="6" t="s">
        <v>3574</v>
      </c>
      <c r="E1342" s="6" t="s">
        <v>3575</v>
      </c>
      <c r="F1342" s="6" t="s">
        <v>3652</v>
      </c>
      <c r="G1342" s="6" t="s">
        <v>16</v>
      </c>
      <c r="H1342" s="5">
        <v>2</v>
      </c>
      <c r="I1342" s="6" t="s">
        <v>3653</v>
      </c>
      <c r="J1342" s="5">
        <v>440</v>
      </c>
    </row>
    <row r="1343" s="2" customFormat="1" spans="1:10">
      <c r="A1343" s="6">
        <f>1341</f>
        <v>1341</v>
      </c>
      <c r="B1343" s="6" t="s">
        <v>3654</v>
      </c>
      <c r="C1343" s="6" t="s">
        <v>12</v>
      </c>
      <c r="D1343" s="6" t="s">
        <v>3574</v>
      </c>
      <c r="E1343" s="6" t="s">
        <v>3575</v>
      </c>
      <c r="F1343" s="6" t="s">
        <v>3655</v>
      </c>
      <c r="G1343" s="6" t="s">
        <v>16</v>
      </c>
      <c r="H1343" s="5">
        <v>2</v>
      </c>
      <c r="I1343" s="6" t="s">
        <v>3656</v>
      </c>
      <c r="J1343" s="5">
        <v>520</v>
      </c>
    </row>
    <row r="1344" s="2" customFormat="1" spans="1:10">
      <c r="A1344" s="6">
        <f>1342</f>
        <v>1342</v>
      </c>
      <c r="B1344" s="6" t="s">
        <v>3657</v>
      </c>
      <c r="C1344" s="6" t="s">
        <v>12</v>
      </c>
      <c r="D1344" s="6" t="s">
        <v>3574</v>
      </c>
      <c r="E1344" s="6" t="s">
        <v>3575</v>
      </c>
      <c r="F1344" s="6" t="s">
        <v>3658</v>
      </c>
      <c r="G1344" s="6" t="s">
        <v>16</v>
      </c>
      <c r="H1344" s="5">
        <v>1</v>
      </c>
      <c r="I1344" s="6" t="s">
        <v>3658</v>
      </c>
      <c r="J1344" s="5">
        <v>300</v>
      </c>
    </row>
    <row r="1345" s="2" customFormat="1" ht="27" spans="1:10">
      <c r="A1345" s="6">
        <f>1343</f>
        <v>1343</v>
      </c>
      <c r="B1345" s="6" t="s">
        <v>3659</v>
      </c>
      <c r="C1345" s="6" t="s">
        <v>12</v>
      </c>
      <c r="D1345" s="6" t="s">
        <v>3574</v>
      </c>
      <c r="E1345" s="6" t="s">
        <v>3575</v>
      </c>
      <c r="F1345" s="6" t="s">
        <v>3660</v>
      </c>
      <c r="G1345" s="6" t="s">
        <v>16</v>
      </c>
      <c r="H1345" s="5">
        <v>4</v>
      </c>
      <c r="I1345" s="6" t="s">
        <v>3661</v>
      </c>
      <c r="J1345" s="5">
        <v>1200</v>
      </c>
    </row>
    <row r="1346" s="2" customFormat="1" spans="1:10">
      <c r="A1346" s="6">
        <f>1344</f>
        <v>1344</v>
      </c>
      <c r="B1346" s="6" t="s">
        <v>3662</v>
      </c>
      <c r="C1346" s="6" t="s">
        <v>12</v>
      </c>
      <c r="D1346" s="6" t="s">
        <v>3574</v>
      </c>
      <c r="E1346" s="6" t="s">
        <v>3663</v>
      </c>
      <c r="F1346" s="6" t="s">
        <v>3664</v>
      </c>
      <c r="G1346" s="6" t="s">
        <v>16</v>
      </c>
      <c r="H1346" s="5">
        <v>2</v>
      </c>
      <c r="I1346" s="6" t="s">
        <v>3665</v>
      </c>
      <c r="J1346" s="5">
        <v>670</v>
      </c>
    </row>
    <row r="1347" s="2" customFormat="1" spans="1:10">
      <c r="A1347" s="6">
        <f>1345</f>
        <v>1345</v>
      </c>
      <c r="B1347" s="6" t="s">
        <v>3666</v>
      </c>
      <c r="C1347" s="6" t="s">
        <v>12</v>
      </c>
      <c r="D1347" s="6" t="s">
        <v>3574</v>
      </c>
      <c r="E1347" s="6" t="s">
        <v>3663</v>
      </c>
      <c r="F1347" s="6" t="s">
        <v>3667</v>
      </c>
      <c r="G1347" s="6" t="s">
        <v>16</v>
      </c>
      <c r="H1347" s="5">
        <v>3</v>
      </c>
      <c r="I1347" s="6" t="s">
        <v>3668</v>
      </c>
      <c r="J1347" s="5">
        <v>480</v>
      </c>
    </row>
    <row r="1348" s="2" customFormat="1" spans="1:10">
      <c r="A1348" s="6">
        <f>1346</f>
        <v>1346</v>
      </c>
      <c r="B1348" s="6" t="s">
        <v>3669</v>
      </c>
      <c r="C1348" s="6" t="s">
        <v>12</v>
      </c>
      <c r="D1348" s="6" t="s">
        <v>3574</v>
      </c>
      <c r="E1348" s="6" t="s">
        <v>3663</v>
      </c>
      <c r="F1348" s="6" t="s">
        <v>3670</v>
      </c>
      <c r="G1348" s="6" t="s">
        <v>16</v>
      </c>
      <c r="H1348" s="5">
        <v>2</v>
      </c>
      <c r="I1348" s="6" t="s">
        <v>3671</v>
      </c>
      <c r="J1348" s="5">
        <v>580</v>
      </c>
    </row>
    <row r="1349" s="2" customFormat="1" ht="27" spans="1:10">
      <c r="A1349" s="6">
        <f>1347</f>
        <v>1347</v>
      </c>
      <c r="B1349" s="6" t="s">
        <v>3672</v>
      </c>
      <c r="C1349" s="6" t="s">
        <v>12</v>
      </c>
      <c r="D1349" s="6" t="s">
        <v>3574</v>
      </c>
      <c r="E1349" s="6" t="s">
        <v>3663</v>
      </c>
      <c r="F1349" s="6" t="s">
        <v>3673</v>
      </c>
      <c r="G1349" s="6" t="s">
        <v>16</v>
      </c>
      <c r="H1349" s="5">
        <v>5</v>
      </c>
      <c r="I1349" s="6" t="s">
        <v>3674</v>
      </c>
      <c r="J1349" s="5">
        <v>1300</v>
      </c>
    </row>
    <row r="1350" s="2" customFormat="1" spans="1:10">
      <c r="A1350" s="6">
        <f>1348</f>
        <v>1348</v>
      </c>
      <c r="B1350" s="6" t="s">
        <v>3675</v>
      </c>
      <c r="C1350" s="6" t="s">
        <v>12</v>
      </c>
      <c r="D1350" s="6" t="s">
        <v>3574</v>
      </c>
      <c r="E1350" s="6" t="s">
        <v>3663</v>
      </c>
      <c r="F1350" s="6" t="s">
        <v>3676</v>
      </c>
      <c r="G1350" s="6" t="s">
        <v>16</v>
      </c>
      <c r="H1350" s="5">
        <v>3</v>
      </c>
      <c r="I1350" s="6" t="s">
        <v>3677</v>
      </c>
      <c r="J1350" s="5">
        <v>690</v>
      </c>
    </row>
    <row r="1351" s="2" customFormat="1" spans="1:10">
      <c r="A1351" s="6">
        <f>1349</f>
        <v>1349</v>
      </c>
      <c r="B1351" s="6" t="s">
        <v>3678</v>
      </c>
      <c r="C1351" s="6" t="s">
        <v>12</v>
      </c>
      <c r="D1351" s="6" t="s">
        <v>3574</v>
      </c>
      <c r="E1351" s="6" t="s">
        <v>3663</v>
      </c>
      <c r="F1351" s="6" t="s">
        <v>3679</v>
      </c>
      <c r="G1351" s="6" t="s">
        <v>16</v>
      </c>
      <c r="H1351" s="5">
        <v>2</v>
      </c>
      <c r="I1351" s="6" t="s">
        <v>3680</v>
      </c>
      <c r="J1351" s="5">
        <v>620</v>
      </c>
    </row>
    <row r="1352" s="2" customFormat="1" spans="1:10">
      <c r="A1352" s="6">
        <f>1350</f>
        <v>1350</v>
      </c>
      <c r="B1352" s="6" t="s">
        <v>3681</v>
      </c>
      <c r="C1352" s="6" t="s">
        <v>12</v>
      </c>
      <c r="D1352" s="6" t="s">
        <v>3574</v>
      </c>
      <c r="E1352" s="6" t="s">
        <v>3663</v>
      </c>
      <c r="F1352" s="6" t="s">
        <v>3682</v>
      </c>
      <c r="G1352" s="6" t="s">
        <v>16</v>
      </c>
      <c r="H1352" s="5">
        <v>2</v>
      </c>
      <c r="I1352" s="6" t="s">
        <v>3683</v>
      </c>
      <c r="J1352" s="5">
        <v>720</v>
      </c>
    </row>
    <row r="1353" s="2" customFormat="1" spans="1:10">
      <c r="A1353" s="6">
        <f>1351</f>
        <v>1351</v>
      </c>
      <c r="B1353" s="6" t="s">
        <v>3684</v>
      </c>
      <c r="C1353" s="6" t="s">
        <v>12</v>
      </c>
      <c r="D1353" s="6" t="s">
        <v>3574</v>
      </c>
      <c r="E1353" s="6" t="s">
        <v>3663</v>
      </c>
      <c r="F1353" s="6" t="s">
        <v>3685</v>
      </c>
      <c r="G1353" s="6" t="s">
        <v>16</v>
      </c>
      <c r="H1353" s="5">
        <v>1</v>
      </c>
      <c r="I1353" s="6" t="s">
        <v>3685</v>
      </c>
      <c r="J1353" s="5">
        <v>540</v>
      </c>
    </row>
    <row r="1354" s="2" customFormat="1" spans="1:10">
      <c r="A1354" s="6">
        <f>1352</f>
        <v>1352</v>
      </c>
      <c r="B1354" s="6" t="s">
        <v>3686</v>
      </c>
      <c r="C1354" s="6" t="s">
        <v>12</v>
      </c>
      <c r="D1354" s="6" t="s">
        <v>3574</v>
      </c>
      <c r="E1354" s="6" t="s">
        <v>3663</v>
      </c>
      <c r="F1354" s="6" t="s">
        <v>3687</v>
      </c>
      <c r="G1354" s="6" t="s">
        <v>16</v>
      </c>
      <c r="H1354" s="5">
        <v>2</v>
      </c>
      <c r="I1354" s="6" t="s">
        <v>3688</v>
      </c>
      <c r="J1354" s="5">
        <v>630</v>
      </c>
    </row>
    <row r="1355" s="2" customFormat="1" spans="1:10">
      <c r="A1355" s="6">
        <f>1353</f>
        <v>1353</v>
      </c>
      <c r="B1355" s="6" t="s">
        <v>3689</v>
      </c>
      <c r="C1355" s="6" t="s">
        <v>12</v>
      </c>
      <c r="D1355" s="6" t="s">
        <v>3574</v>
      </c>
      <c r="E1355" s="6" t="s">
        <v>3663</v>
      </c>
      <c r="F1355" s="6" t="s">
        <v>3690</v>
      </c>
      <c r="G1355" s="6" t="s">
        <v>16</v>
      </c>
      <c r="H1355" s="5">
        <v>2</v>
      </c>
      <c r="I1355" s="6" t="s">
        <v>3691</v>
      </c>
      <c r="J1355" s="5">
        <v>596</v>
      </c>
    </row>
    <row r="1356" s="2" customFormat="1" spans="1:10">
      <c r="A1356" s="6">
        <f>1354</f>
        <v>1354</v>
      </c>
      <c r="B1356" s="6" t="s">
        <v>3692</v>
      </c>
      <c r="C1356" s="6" t="s">
        <v>12</v>
      </c>
      <c r="D1356" s="6" t="s">
        <v>3574</v>
      </c>
      <c r="E1356" s="6" t="s">
        <v>3663</v>
      </c>
      <c r="F1356" s="6" t="s">
        <v>3693</v>
      </c>
      <c r="G1356" s="6" t="s">
        <v>16</v>
      </c>
      <c r="H1356" s="5">
        <v>1</v>
      </c>
      <c r="I1356" s="6" t="s">
        <v>3693</v>
      </c>
      <c r="J1356" s="5">
        <v>410</v>
      </c>
    </row>
    <row r="1357" s="2" customFormat="1" spans="1:10">
      <c r="A1357" s="6">
        <f>1355</f>
        <v>1355</v>
      </c>
      <c r="B1357" s="6" t="s">
        <v>3694</v>
      </c>
      <c r="C1357" s="6" t="s">
        <v>12</v>
      </c>
      <c r="D1357" s="6" t="s">
        <v>3574</v>
      </c>
      <c r="E1357" s="6" t="s">
        <v>3663</v>
      </c>
      <c r="F1357" s="6" t="s">
        <v>3695</v>
      </c>
      <c r="G1357" s="6" t="s">
        <v>16</v>
      </c>
      <c r="H1357" s="5">
        <v>1</v>
      </c>
      <c r="I1357" s="6" t="s">
        <v>3695</v>
      </c>
      <c r="J1357" s="5">
        <v>280</v>
      </c>
    </row>
    <row r="1358" s="2" customFormat="1" ht="27" spans="1:10">
      <c r="A1358" s="6">
        <f>1356</f>
        <v>1356</v>
      </c>
      <c r="B1358" s="6" t="s">
        <v>3696</v>
      </c>
      <c r="C1358" s="6" t="s">
        <v>12</v>
      </c>
      <c r="D1358" s="6" t="s">
        <v>3574</v>
      </c>
      <c r="E1358" s="6" t="s">
        <v>3663</v>
      </c>
      <c r="F1358" s="6" t="s">
        <v>3697</v>
      </c>
      <c r="G1358" s="6" t="s">
        <v>16</v>
      </c>
      <c r="H1358" s="5">
        <v>6</v>
      </c>
      <c r="I1358" s="6" t="s">
        <v>3698</v>
      </c>
      <c r="J1358" s="5">
        <v>1380</v>
      </c>
    </row>
    <row r="1359" s="2" customFormat="1" spans="1:10">
      <c r="A1359" s="6">
        <f>1357</f>
        <v>1357</v>
      </c>
      <c r="B1359" s="6" t="s">
        <v>3699</v>
      </c>
      <c r="C1359" s="6" t="s">
        <v>12</v>
      </c>
      <c r="D1359" s="6" t="s">
        <v>3574</v>
      </c>
      <c r="E1359" s="6" t="s">
        <v>3663</v>
      </c>
      <c r="F1359" s="6" t="s">
        <v>3700</v>
      </c>
      <c r="G1359" s="6" t="s">
        <v>16</v>
      </c>
      <c r="H1359" s="5">
        <v>1</v>
      </c>
      <c r="I1359" s="6" t="s">
        <v>3700</v>
      </c>
      <c r="J1359" s="5">
        <v>360</v>
      </c>
    </row>
    <row r="1360" s="2" customFormat="1" spans="1:10">
      <c r="A1360" s="6">
        <f>1358</f>
        <v>1358</v>
      </c>
      <c r="B1360" s="6" t="s">
        <v>3701</v>
      </c>
      <c r="C1360" s="6" t="s">
        <v>12</v>
      </c>
      <c r="D1360" s="6" t="s">
        <v>3574</v>
      </c>
      <c r="E1360" s="6" t="s">
        <v>3663</v>
      </c>
      <c r="F1360" s="6" t="s">
        <v>3702</v>
      </c>
      <c r="G1360" s="6" t="s">
        <v>16</v>
      </c>
      <c r="H1360" s="5">
        <v>1</v>
      </c>
      <c r="I1360" s="6" t="s">
        <v>3702</v>
      </c>
      <c r="J1360" s="5">
        <v>350</v>
      </c>
    </row>
    <row r="1361" s="2" customFormat="1" spans="1:10">
      <c r="A1361" s="6">
        <f>1359</f>
        <v>1359</v>
      </c>
      <c r="B1361" s="6" t="s">
        <v>3703</v>
      </c>
      <c r="C1361" s="6" t="s">
        <v>12</v>
      </c>
      <c r="D1361" s="6" t="s">
        <v>3574</v>
      </c>
      <c r="E1361" s="6" t="s">
        <v>3663</v>
      </c>
      <c r="F1361" s="6" t="s">
        <v>3704</v>
      </c>
      <c r="G1361" s="6" t="s">
        <v>16</v>
      </c>
      <c r="H1361" s="5">
        <v>1</v>
      </c>
      <c r="I1361" s="6" t="s">
        <v>3704</v>
      </c>
      <c r="J1361" s="5">
        <v>233</v>
      </c>
    </row>
    <row r="1362" s="2" customFormat="1" spans="1:10">
      <c r="A1362" s="6">
        <f>1360</f>
        <v>1360</v>
      </c>
      <c r="B1362" s="6" t="s">
        <v>3705</v>
      </c>
      <c r="C1362" s="6" t="s">
        <v>12</v>
      </c>
      <c r="D1362" s="6" t="s">
        <v>3574</v>
      </c>
      <c r="E1362" s="6" t="s">
        <v>3663</v>
      </c>
      <c r="F1362" s="6" t="s">
        <v>3706</v>
      </c>
      <c r="G1362" s="6" t="s">
        <v>16</v>
      </c>
      <c r="H1362" s="5">
        <v>2</v>
      </c>
      <c r="I1362" s="6" t="s">
        <v>3707</v>
      </c>
      <c r="J1362" s="5">
        <v>520</v>
      </c>
    </row>
    <row r="1363" s="2" customFormat="1" ht="27" spans="1:10">
      <c r="A1363" s="6">
        <f>1361</f>
        <v>1361</v>
      </c>
      <c r="B1363" s="6" t="s">
        <v>3708</v>
      </c>
      <c r="C1363" s="6" t="s">
        <v>12</v>
      </c>
      <c r="D1363" s="6" t="s">
        <v>3574</v>
      </c>
      <c r="E1363" s="6" t="s">
        <v>3663</v>
      </c>
      <c r="F1363" s="6" t="s">
        <v>3709</v>
      </c>
      <c r="G1363" s="6" t="s">
        <v>16</v>
      </c>
      <c r="H1363" s="5">
        <v>4</v>
      </c>
      <c r="I1363" s="6" t="s">
        <v>3710</v>
      </c>
      <c r="J1363" s="5">
        <v>1000</v>
      </c>
    </row>
    <row r="1364" s="2" customFormat="1" spans="1:10">
      <c r="A1364" s="6">
        <f>1362</f>
        <v>1362</v>
      </c>
      <c r="B1364" s="6" t="s">
        <v>3711</v>
      </c>
      <c r="C1364" s="6" t="s">
        <v>12</v>
      </c>
      <c r="D1364" s="6" t="s">
        <v>3574</v>
      </c>
      <c r="E1364" s="6" t="s">
        <v>3663</v>
      </c>
      <c r="F1364" s="6" t="s">
        <v>1194</v>
      </c>
      <c r="G1364" s="6" t="s">
        <v>16</v>
      </c>
      <c r="H1364" s="5">
        <v>2</v>
      </c>
      <c r="I1364" s="6" t="s">
        <v>3712</v>
      </c>
      <c r="J1364" s="5">
        <v>620</v>
      </c>
    </row>
    <row r="1365" s="2" customFormat="1" spans="1:10">
      <c r="A1365" s="6">
        <f>1363</f>
        <v>1363</v>
      </c>
      <c r="B1365" s="6" t="s">
        <v>3713</v>
      </c>
      <c r="C1365" s="6" t="s">
        <v>12</v>
      </c>
      <c r="D1365" s="6" t="s">
        <v>3574</v>
      </c>
      <c r="E1365" s="6" t="s">
        <v>3663</v>
      </c>
      <c r="F1365" s="6" t="s">
        <v>3714</v>
      </c>
      <c r="G1365" s="6" t="s">
        <v>16</v>
      </c>
      <c r="H1365" s="5">
        <v>2</v>
      </c>
      <c r="I1365" s="6" t="s">
        <v>3715</v>
      </c>
      <c r="J1365" s="5">
        <v>720</v>
      </c>
    </row>
    <row r="1366" s="2" customFormat="1" spans="1:10">
      <c r="A1366" s="6">
        <f>1364</f>
        <v>1364</v>
      </c>
      <c r="B1366" s="6" t="s">
        <v>3716</v>
      </c>
      <c r="C1366" s="6" t="s">
        <v>12</v>
      </c>
      <c r="D1366" s="6" t="s">
        <v>3574</v>
      </c>
      <c r="E1366" s="6" t="s">
        <v>3663</v>
      </c>
      <c r="F1366" s="6" t="s">
        <v>3717</v>
      </c>
      <c r="G1366" s="6" t="s">
        <v>16</v>
      </c>
      <c r="H1366" s="5">
        <v>1</v>
      </c>
      <c r="I1366" s="6" t="s">
        <v>3717</v>
      </c>
      <c r="J1366" s="5">
        <v>233</v>
      </c>
    </row>
    <row r="1367" s="2" customFormat="1" spans="1:10">
      <c r="A1367" s="6">
        <f>1365</f>
        <v>1365</v>
      </c>
      <c r="B1367" s="6" t="s">
        <v>3718</v>
      </c>
      <c r="C1367" s="6" t="s">
        <v>12</v>
      </c>
      <c r="D1367" s="6" t="s">
        <v>3574</v>
      </c>
      <c r="E1367" s="6" t="s">
        <v>3663</v>
      </c>
      <c r="F1367" s="6" t="s">
        <v>3719</v>
      </c>
      <c r="G1367" s="6" t="s">
        <v>16</v>
      </c>
      <c r="H1367" s="5">
        <v>1</v>
      </c>
      <c r="I1367" s="6" t="s">
        <v>3719</v>
      </c>
      <c r="J1367" s="5">
        <v>403</v>
      </c>
    </row>
    <row r="1368" s="2" customFormat="1" ht="40.5" spans="1:10">
      <c r="A1368" s="6">
        <f>1366</f>
        <v>1366</v>
      </c>
      <c r="B1368" s="6" t="s">
        <v>3720</v>
      </c>
      <c r="C1368" s="6" t="s">
        <v>12</v>
      </c>
      <c r="D1368" s="6" t="s">
        <v>3574</v>
      </c>
      <c r="E1368" s="6" t="s">
        <v>3663</v>
      </c>
      <c r="F1368" s="6" t="s">
        <v>3721</v>
      </c>
      <c r="G1368" s="6" t="s">
        <v>16</v>
      </c>
      <c r="H1368" s="5">
        <v>8</v>
      </c>
      <c r="I1368" s="6" t="s">
        <v>3722</v>
      </c>
      <c r="J1368" s="5">
        <v>1740</v>
      </c>
    </row>
    <row r="1369" s="2" customFormat="1" spans="1:10">
      <c r="A1369" s="6">
        <f>1367</f>
        <v>1367</v>
      </c>
      <c r="B1369" s="6" t="s">
        <v>3723</v>
      </c>
      <c r="C1369" s="6" t="s">
        <v>12</v>
      </c>
      <c r="D1369" s="6" t="s">
        <v>3574</v>
      </c>
      <c r="E1369" s="6" t="s">
        <v>3663</v>
      </c>
      <c r="F1369" s="6" t="s">
        <v>3724</v>
      </c>
      <c r="G1369" s="6" t="s">
        <v>16</v>
      </c>
      <c r="H1369" s="5">
        <v>2</v>
      </c>
      <c r="I1369" s="6" t="s">
        <v>3725</v>
      </c>
      <c r="J1369" s="5">
        <v>480</v>
      </c>
    </row>
    <row r="1370" s="2" customFormat="1" spans="1:10">
      <c r="A1370" s="6">
        <f>1368</f>
        <v>1368</v>
      </c>
      <c r="B1370" s="6" t="s">
        <v>3726</v>
      </c>
      <c r="C1370" s="6" t="s">
        <v>12</v>
      </c>
      <c r="D1370" s="6" t="s">
        <v>3574</v>
      </c>
      <c r="E1370" s="6" t="s">
        <v>3663</v>
      </c>
      <c r="F1370" s="6" t="s">
        <v>3727</v>
      </c>
      <c r="G1370" s="6" t="s">
        <v>16</v>
      </c>
      <c r="H1370" s="5">
        <v>1</v>
      </c>
      <c r="I1370" s="6" t="s">
        <v>3727</v>
      </c>
      <c r="J1370" s="5">
        <v>233</v>
      </c>
    </row>
    <row r="1371" s="2" customFormat="1" spans="1:10">
      <c r="A1371" s="6">
        <f>1369</f>
        <v>1369</v>
      </c>
      <c r="B1371" s="6" t="s">
        <v>3728</v>
      </c>
      <c r="C1371" s="6" t="s">
        <v>12</v>
      </c>
      <c r="D1371" s="6" t="s">
        <v>3574</v>
      </c>
      <c r="E1371" s="6" t="s">
        <v>3663</v>
      </c>
      <c r="F1371" s="6" t="s">
        <v>3729</v>
      </c>
      <c r="G1371" s="6" t="s">
        <v>16</v>
      </c>
      <c r="H1371" s="5">
        <v>2</v>
      </c>
      <c r="I1371" s="6" t="s">
        <v>3730</v>
      </c>
      <c r="J1371" s="5">
        <v>540</v>
      </c>
    </row>
    <row r="1372" s="2" customFormat="1" spans="1:10">
      <c r="A1372" s="6">
        <f>1370</f>
        <v>1370</v>
      </c>
      <c r="B1372" s="6" t="s">
        <v>3731</v>
      </c>
      <c r="C1372" s="6" t="s">
        <v>12</v>
      </c>
      <c r="D1372" s="6" t="s">
        <v>3574</v>
      </c>
      <c r="E1372" s="6" t="s">
        <v>3663</v>
      </c>
      <c r="F1372" s="6" t="s">
        <v>3732</v>
      </c>
      <c r="G1372" s="6" t="s">
        <v>16</v>
      </c>
      <c r="H1372" s="5">
        <v>1</v>
      </c>
      <c r="I1372" s="6" t="s">
        <v>3732</v>
      </c>
      <c r="J1372" s="5">
        <v>253</v>
      </c>
    </row>
    <row r="1373" s="2" customFormat="1" spans="1:10">
      <c r="A1373" s="6">
        <f>1371</f>
        <v>1371</v>
      </c>
      <c r="B1373" s="6" t="s">
        <v>3733</v>
      </c>
      <c r="C1373" s="6" t="s">
        <v>12</v>
      </c>
      <c r="D1373" s="6" t="s">
        <v>3574</v>
      </c>
      <c r="E1373" s="6" t="s">
        <v>3663</v>
      </c>
      <c r="F1373" s="6" t="s">
        <v>3734</v>
      </c>
      <c r="G1373" s="6" t="s">
        <v>16</v>
      </c>
      <c r="H1373" s="5">
        <v>1</v>
      </c>
      <c r="I1373" s="6" t="s">
        <v>3734</v>
      </c>
      <c r="J1373" s="5">
        <v>450</v>
      </c>
    </row>
    <row r="1374" s="2" customFormat="1" spans="1:10">
      <c r="A1374" s="6">
        <f>1372</f>
        <v>1372</v>
      </c>
      <c r="B1374" s="6" t="s">
        <v>3735</v>
      </c>
      <c r="C1374" s="6" t="s">
        <v>12</v>
      </c>
      <c r="D1374" s="6" t="s">
        <v>3574</v>
      </c>
      <c r="E1374" s="6" t="s">
        <v>3663</v>
      </c>
      <c r="F1374" s="6" t="s">
        <v>3736</v>
      </c>
      <c r="G1374" s="6" t="s">
        <v>16</v>
      </c>
      <c r="H1374" s="5">
        <v>3</v>
      </c>
      <c r="I1374" s="6" t="s">
        <v>3737</v>
      </c>
      <c r="J1374" s="5">
        <v>690</v>
      </c>
    </row>
    <row r="1375" s="2" customFormat="1" spans="1:10">
      <c r="A1375" s="6">
        <f>1373</f>
        <v>1373</v>
      </c>
      <c r="B1375" s="6" t="s">
        <v>3738</v>
      </c>
      <c r="C1375" s="6" t="s">
        <v>12</v>
      </c>
      <c r="D1375" s="6" t="s">
        <v>3574</v>
      </c>
      <c r="E1375" s="6" t="s">
        <v>3663</v>
      </c>
      <c r="F1375" s="6" t="s">
        <v>3739</v>
      </c>
      <c r="G1375" s="6" t="s">
        <v>16</v>
      </c>
      <c r="H1375" s="5">
        <v>1</v>
      </c>
      <c r="I1375" s="6" t="s">
        <v>3739</v>
      </c>
      <c r="J1375" s="5">
        <v>410</v>
      </c>
    </row>
    <row r="1376" s="2" customFormat="1" spans="1:10">
      <c r="A1376" s="6">
        <f>1374</f>
        <v>1374</v>
      </c>
      <c r="B1376" s="6" t="s">
        <v>3740</v>
      </c>
      <c r="C1376" s="6" t="s">
        <v>12</v>
      </c>
      <c r="D1376" s="6" t="s">
        <v>3574</v>
      </c>
      <c r="E1376" s="6" t="s">
        <v>3663</v>
      </c>
      <c r="F1376" s="6" t="s">
        <v>3741</v>
      </c>
      <c r="G1376" s="6" t="s">
        <v>16</v>
      </c>
      <c r="H1376" s="5">
        <v>1</v>
      </c>
      <c r="I1376" s="6" t="s">
        <v>3741</v>
      </c>
      <c r="J1376" s="5">
        <v>300</v>
      </c>
    </row>
    <row r="1377" s="2" customFormat="1" ht="27" spans="1:10">
      <c r="A1377" s="6">
        <f>1375</f>
        <v>1375</v>
      </c>
      <c r="B1377" s="6" t="s">
        <v>3742</v>
      </c>
      <c r="C1377" s="6" t="s">
        <v>12</v>
      </c>
      <c r="D1377" s="6" t="s">
        <v>3574</v>
      </c>
      <c r="E1377" s="6" t="s">
        <v>3663</v>
      </c>
      <c r="F1377" s="6" t="s">
        <v>3743</v>
      </c>
      <c r="G1377" s="6" t="s">
        <v>16</v>
      </c>
      <c r="H1377" s="5">
        <v>4</v>
      </c>
      <c r="I1377" s="6" t="s">
        <v>3744</v>
      </c>
      <c r="J1377" s="5">
        <v>920</v>
      </c>
    </row>
    <row r="1378" s="2" customFormat="1" spans="1:10">
      <c r="A1378" s="6">
        <f>1376</f>
        <v>1376</v>
      </c>
      <c r="B1378" s="6" t="s">
        <v>3745</v>
      </c>
      <c r="C1378" s="6" t="s">
        <v>12</v>
      </c>
      <c r="D1378" s="6" t="s">
        <v>3574</v>
      </c>
      <c r="E1378" s="6" t="s">
        <v>3663</v>
      </c>
      <c r="F1378" s="6" t="s">
        <v>3746</v>
      </c>
      <c r="G1378" s="6" t="s">
        <v>16</v>
      </c>
      <c r="H1378" s="5">
        <v>1</v>
      </c>
      <c r="I1378" s="6" t="s">
        <v>3746</v>
      </c>
      <c r="J1378" s="5">
        <v>440</v>
      </c>
    </row>
    <row r="1379" s="2" customFormat="1" ht="27" spans="1:10">
      <c r="A1379" s="6">
        <f>1377</f>
        <v>1377</v>
      </c>
      <c r="B1379" s="6" t="s">
        <v>3747</v>
      </c>
      <c r="C1379" s="6" t="s">
        <v>12</v>
      </c>
      <c r="D1379" s="6" t="s">
        <v>3574</v>
      </c>
      <c r="E1379" s="6" t="s">
        <v>3663</v>
      </c>
      <c r="F1379" s="6" t="s">
        <v>3748</v>
      </c>
      <c r="G1379" s="6" t="s">
        <v>16</v>
      </c>
      <c r="H1379" s="5">
        <v>4</v>
      </c>
      <c r="I1379" s="6" t="s">
        <v>3749</v>
      </c>
      <c r="J1379" s="5">
        <v>1060</v>
      </c>
    </row>
    <row r="1380" s="2" customFormat="1" spans="1:10">
      <c r="A1380" s="6">
        <f>1378</f>
        <v>1378</v>
      </c>
      <c r="B1380" s="6" t="s">
        <v>3750</v>
      </c>
      <c r="C1380" s="6" t="s">
        <v>12</v>
      </c>
      <c r="D1380" s="6" t="s">
        <v>3574</v>
      </c>
      <c r="E1380" s="6" t="s">
        <v>3663</v>
      </c>
      <c r="F1380" s="6" t="s">
        <v>3751</v>
      </c>
      <c r="G1380" s="6" t="s">
        <v>16</v>
      </c>
      <c r="H1380" s="5">
        <v>1</v>
      </c>
      <c r="I1380" s="6" t="s">
        <v>3751</v>
      </c>
      <c r="J1380" s="5">
        <v>280</v>
      </c>
    </row>
    <row r="1381" s="2" customFormat="1" spans="1:10">
      <c r="A1381" s="6">
        <f>1379</f>
        <v>1379</v>
      </c>
      <c r="B1381" s="6" t="s">
        <v>3752</v>
      </c>
      <c r="C1381" s="6" t="s">
        <v>12</v>
      </c>
      <c r="D1381" s="6" t="s">
        <v>3574</v>
      </c>
      <c r="E1381" s="6" t="s">
        <v>3663</v>
      </c>
      <c r="F1381" s="6" t="s">
        <v>3753</v>
      </c>
      <c r="G1381" s="6" t="s">
        <v>16</v>
      </c>
      <c r="H1381" s="5">
        <v>1</v>
      </c>
      <c r="I1381" s="6" t="s">
        <v>3753</v>
      </c>
      <c r="J1381" s="5">
        <v>240</v>
      </c>
    </row>
    <row r="1382" s="2" customFormat="1" spans="1:10">
      <c r="A1382" s="6">
        <f>1380</f>
        <v>1380</v>
      </c>
      <c r="B1382" s="6" t="s">
        <v>3754</v>
      </c>
      <c r="C1382" s="6" t="s">
        <v>12</v>
      </c>
      <c r="D1382" s="6" t="s">
        <v>3574</v>
      </c>
      <c r="E1382" s="6" t="s">
        <v>3663</v>
      </c>
      <c r="F1382" s="6" t="s">
        <v>3755</v>
      </c>
      <c r="G1382" s="6" t="s">
        <v>16</v>
      </c>
      <c r="H1382" s="5">
        <v>2</v>
      </c>
      <c r="I1382" s="6" t="s">
        <v>3756</v>
      </c>
      <c r="J1382" s="5">
        <v>636</v>
      </c>
    </row>
    <row r="1383" s="2" customFormat="1" spans="1:10">
      <c r="A1383" s="6">
        <f>1381</f>
        <v>1381</v>
      </c>
      <c r="B1383" s="6" t="s">
        <v>3757</v>
      </c>
      <c r="C1383" s="6" t="s">
        <v>12</v>
      </c>
      <c r="D1383" s="6" t="s">
        <v>3574</v>
      </c>
      <c r="E1383" s="6" t="s">
        <v>3663</v>
      </c>
      <c r="F1383" s="6" t="s">
        <v>3758</v>
      </c>
      <c r="G1383" s="6" t="s">
        <v>16</v>
      </c>
      <c r="H1383" s="5">
        <v>3</v>
      </c>
      <c r="I1383" s="6" t="s">
        <v>3759</v>
      </c>
      <c r="J1383" s="5">
        <v>540</v>
      </c>
    </row>
    <row r="1384" s="2" customFormat="1" spans="1:10">
      <c r="A1384" s="6">
        <f>1382</f>
        <v>1382</v>
      </c>
      <c r="B1384" s="6" t="s">
        <v>3760</v>
      </c>
      <c r="C1384" s="6" t="s">
        <v>12</v>
      </c>
      <c r="D1384" s="6" t="s">
        <v>3574</v>
      </c>
      <c r="E1384" s="6" t="s">
        <v>3663</v>
      </c>
      <c r="F1384" s="6" t="s">
        <v>3761</v>
      </c>
      <c r="G1384" s="6" t="s">
        <v>16</v>
      </c>
      <c r="H1384" s="5">
        <v>3</v>
      </c>
      <c r="I1384" s="6" t="s">
        <v>3762</v>
      </c>
      <c r="J1384" s="5">
        <v>780</v>
      </c>
    </row>
    <row r="1385" s="2" customFormat="1" ht="27" spans="1:10">
      <c r="A1385" s="6">
        <f>1383</f>
        <v>1383</v>
      </c>
      <c r="B1385" s="6" t="s">
        <v>3763</v>
      </c>
      <c r="C1385" s="6" t="s">
        <v>12</v>
      </c>
      <c r="D1385" s="6" t="s">
        <v>3574</v>
      </c>
      <c r="E1385" s="6" t="s">
        <v>3663</v>
      </c>
      <c r="F1385" s="6" t="s">
        <v>3764</v>
      </c>
      <c r="G1385" s="6" t="s">
        <v>16</v>
      </c>
      <c r="H1385" s="5">
        <v>4</v>
      </c>
      <c r="I1385" s="6" t="s">
        <v>3765</v>
      </c>
      <c r="J1385" s="5">
        <v>1100</v>
      </c>
    </row>
    <row r="1386" s="2" customFormat="1" spans="1:10">
      <c r="A1386" s="6">
        <f>1384</f>
        <v>1384</v>
      </c>
      <c r="B1386" s="6" t="s">
        <v>3766</v>
      </c>
      <c r="C1386" s="6" t="s">
        <v>12</v>
      </c>
      <c r="D1386" s="6" t="s">
        <v>3574</v>
      </c>
      <c r="E1386" s="6" t="s">
        <v>3663</v>
      </c>
      <c r="F1386" s="6" t="s">
        <v>3767</v>
      </c>
      <c r="G1386" s="6" t="s">
        <v>16</v>
      </c>
      <c r="H1386" s="5">
        <v>3</v>
      </c>
      <c r="I1386" s="6" t="s">
        <v>3768</v>
      </c>
      <c r="J1386" s="5">
        <v>560</v>
      </c>
    </row>
    <row r="1387" s="2" customFormat="1" spans="1:10">
      <c r="A1387" s="6">
        <f>1385</f>
        <v>1385</v>
      </c>
      <c r="B1387" s="6" t="s">
        <v>3769</v>
      </c>
      <c r="C1387" s="6" t="s">
        <v>12</v>
      </c>
      <c r="D1387" s="6" t="s">
        <v>3574</v>
      </c>
      <c r="E1387" s="6" t="s">
        <v>3770</v>
      </c>
      <c r="F1387" s="6" t="s">
        <v>3771</v>
      </c>
      <c r="G1387" s="6" t="s">
        <v>16</v>
      </c>
      <c r="H1387" s="5">
        <v>3</v>
      </c>
      <c r="I1387" s="6" t="s">
        <v>3772</v>
      </c>
      <c r="J1387" s="5">
        <v>360</v>
      </c>
    </row>
    <row r="1388" s="2" customFormat="1" ht="27" spans="1:10">
      <c r="A1388" s="6">
        <f>1386</f>
        <v>1386</v>
      </c>
      <c r="B1388" s="6" t="s">
        <v>3773</v>
      </c>
      <c r="C1388" s="6" t="s">
        <v>12</v>
      </c>
      <c r="D1388" s="6" t="s">
        <v>3574</v>
      </c>
      <c r="E1388" s="6" t="s">
        <v>3770</v>
      </c>
      <c r="F1388" s="6" t="s">
        <v>3774</v>
      </c>
      <c r="G1388" s="6" t="s">
        <v>16</v>
      </c>
      <c r="H1388" s="5">
        <v>4</v>
      </c>
      <c r="I1388" s="6" t="s">
        <v>3775</v>
      </c>
      <c r="J1388" s="5">
        <v>1140</v>
      </c>
    </row>
    <row r="1389" s="2" customFormat="1" spans="1:10">
      <c r="A1389" s="6">
        <f>1387</f>
        <v>1387</v>
      </c>
      <c r="B1389" s="6" t="s">
        <v>3776</v>
      </c>
      <c r="C1389" s="6" t="s">
        <v>12</v>
      </c>
      <c r="D1389" s="6" t="s">
        <v>3574</v>
      </c>
      <c r="E1389" s="6" t="s">
        <v>3770</v>
      </c>
      <c r="F1389" s="6" t="s">
        <v>3777</v>
      </c>
      <c r="G1389" s="6" t="s">
        <v>16</v>
      </c>
      <c r="H1389" s="5">
        <v>2</v>
      </c>
      <c r="I1389" s="6" t="s">
        <v>3778</v>
      </c>
      <c r="J1389" s="5">
        <v>620</v>
      </c>
    </row>
    <row r="1390" s="2" customFormat="1" spans="1:10">
      <c r="A1390" s="6">
        <f>1388</f>
        <v>1388</v>
      </c>
      <c r="B1390" s="6" t="s">
        <v>3779</v>
      </c>
      <c r="C1390" s="6" t="s">
        <v>12</v>
      </c>
      <c r="D1390" s="6" t="s">
        <v>3574</v>
      </c>
      <c r="E1390" s="6" t="s">
        <v>3770</v>
      </c>
      <c r="F1390" s="6" t="s">
        <v>3780</v>
      </c>
      <c r="G1390" s="6" t="s">
        <v>16</v>
      </c>
      <c r="H1390" s="5">
        <v>2</v>
      </c>
      <c r="I1390" s="6" t="s">
        <v>3781</v>
      </c>
      <c r="J1390" s="5">
        <v>440</v>
      </c>
    </row>
    <row r="1391" s="2" customFormat="1" spans="1:10">
      <c r="A1391" s="6">
        <f>1389</f>
        <v>1389</v>
      </c>
      <c r="B1391" s="6" t="s">
        <v>3782</v>
      </c>
      <c r="C1391" s="6" t="s">
        <v>12</v>
      </c>
      <c r="D1391" s="6" t="s">
        <v>3574</v>
      </c>
      <c r="E1391" s="6" t="s">
        <v>3770</v>
      </c>
      <c r="F1391" s="6" t="s">
        <v>3783</v>
      </c>
      <c r="G1391" s="6" t="s">
        <v>16</v>
      </c>
      <c r="H1391" s="5">
        <v>1</v>
      </c>
      <c r="I1391" s="6" t="s">
        <v>3783</v>
      </c>
      <c r="J1391" s="5">
        <v>200</v>
      </c>
    </row>
    <row r="1392" s="2" customFormat="1" spans="1:10">
      <c r="A1392" s="6">
        <f>1390</f>
        <v>1390</v>
      </c>
      <c r="B1392" s="6" t="s">
        <v>3784</v>
      </c>
      <c r="C1392" s="6" t="s">
        <v>12</v>
      </c>
      <c r="D1392" s="6" t="s">
        <v>3574</v>
      </c>
      <c r="E1392" s="6" t="s">
        <v>3770</v>
      </c>
      <c r="F1392" s="6" t="s">
        <v>3785</v>
      </c>
      <c r="G1392" s="6" t="s">
        <v>16</v>
      </c>
      <c r="H1392" s="5">
        <v>3</v>
      </c>
      <c r="I1392" s="6" t="s">
        <v>3786</v>
      </c>
      <c r="J1392" s="5">
        <v>1860</v>
      </c>
    </row>
    <row r="1393" s="2" customFormat="1" spans="1:10">
      <c r="A1393" s="6">
        <f>1391</f>
        <v>1391</v>
      </c>
      <c r="B1393" s="6" t="s">
        <v>3787</v>
      </c>
      <c r="C1393" s="6" t="s">
        <v>12</v>
      </c>
      <c r="D1393" s="6" t="s">
        <v>3574</v>
      </c>
      <c r="E1393" s="6" t="s">
        <v>3770</v>
      </c>
      <c r="F1393" s="6" t="s">
        <v>2913</v>
      </c>
      <c r="G1393" s="6" t="s">
        <v>16</v>
      </c>
      <c r="H1393" s="5">
        <v>3</v>
      </c>
      <c r="I1393" s="6" t="s">
        <v>3788</v>
      </c>
      <c r="J1393" s="5">
        <v>660</v>
      </c>
    </row>
    <row r="1394" s="2" customFormat="1" spans="1:10">
      <c r="A1394" s="6">
        <f>1392</f>
        <v>1392</v>
      </c>
      <c r="B1394" s="6" t="s">
        <v>3789</v>
      </c>
      <c r="C1394" s="6" t="s">
        <v>12</v>
      </c>
      <c r="D1394" s="6" t="s">
        <v>3574</v>
      </c>
      <c r="E1394" s="6" t="s">
        <v>3770</v>
      </c>
      <c r="F1394" s="6" t="s">
        <v>3790</v>
      </c>
      <c r="G1394" s="6" t="s">
        <v>16</v>
      </c>
      <c r="H1394" s="5">
        <v>2</v>
      </c>
      <c r="I1394" s="6" t="s">
        <v>3791</v>
      </c>
      <c r="J1394" s="5">
        <v>920</v>
      </c>
    </row>
    <row r="1395" s="2" customFormat="1" spans="1:10">
      <c r="A1395" s="6">
        <f>1393</f>
        <v>1393</v>
      </c>
      <c r="B1395" s="6" t="s">
        <v>3792</v>
      </c>
      <c r="C1395" s="6" t="s">
        <v>12</v>
      </c>
      <c r="D1395" s="6" t="s">
        <v>3574</v>
      </c>
      <c r="E1395" s="6" t="s">
        <v>3770</v>
      </c>
      <c r="F1395" s="6" t="s">
        <v>3793</v>
      </c>
      <c r="G1395" s="6" t="s">
        <v>16</v>
      </c>
      <c r="H1395" s="5">
        <v>1</v>
      </c>
      <c r="I1395" s="6" t="s">
        <v>3793</v>
      </c>
      <c r="J1395" s="5">
        <v>285</v>
      </c>
    </row>
    <row r="1396" s="2" customFormat="1" spans="1:10">
      <c r="A1396" s="6">
        <f>1394</f>
        <v>1394</v>
      </c>
      <c r="B1396" s="6" t="s">
        <v>3794</v>
      </c>
      <c r="C1396" s="6" t="s">
        <v>12</v>
      </c>
      <c r="D1396" s="6" t="s">
        <v>3574</v>
      </c>
      <c r="E1396" s="6" t="s">
        <v>3770</v>
      </c>
      <c r="F1396" s="6" t="s">
        <v>3795</v>
      </c>
      <c r="G1396" s="6" t="s">
        <v>16</v>
      </c>
      <c r="H1396" s="5">
        <v>1</v>
      </c>
      <c r="I1396" s="6" t="s">
        <v>3795</v>
      </c>
      <c r="J1396" s="5">
        <v>300</v>
      </c>
    </row>
    <row r="1397" s="2" customFormat="1" spans="1:10">
      <c r="A1397" s="6">
        <f>1395</f>
        <v>1395</v>
      </c>
      <c r="B1397" s="6" t="s">
        <v>3796</v>
      </c>
      <c r="C1397" s="6" t="s">
        <v>12</v>
      </c>
      <c r="D1397" s="6" t="s">
        <v>3574</v>
      </c>
      <c r="E1397" s="6" t="s">
        <v>3770</v>
      </c>
      <c r="F1397" s="6" t="s">
        <v>3797</v>
      </c>
      <c r="G1397" s="6" t="s">
        <v>16</v>
      </c>
      <c r="H1397" s="5">
        <v>1</v>
      </c>
      <c r="I1397" s="6" t="s">
        <v>3797</v>
      </c>
      <c r="J1397" s="5">
        <v>250</v>
      </c>
    </row>
    <row r="1398" s="2" customFormat="1" spans="1:10">
      <c r="A1398" s="6">
        <f>1396</f>
        <v>1396</v>
      </c>
      <c r="B1398" s="6" t="s">
        <v>3798</v>
      </c>
      <c r="C1398" s="6" t="s">
        <v>12</v>
      </c>
      <c r="D1398" s="6" t="s">
        <v>3574</v>
      </c>
      <c r="E1398" s="6" t="s">
        <v>3770</v>
      </c>
      <c r="F1398" s="6" t="s">
        <v>3799</v>
      </c>
      <c r="G1398" s="6" t="s">
        <v>16</v>
      </c>
      <c r="H1398" s="5">
        <v>4</v>
      </c>
      <c r="I1398" s="6" t="s">
        <v>3800</v>
      </c>
      <c r="J1398" s="5">
        <v>750</v>
      </c>
    </row>
    <row r="1399" s="2" customFormat="1" spans="1:10">
      <c r="A1399" s="6">
        <f>1397</f>
        <v>1397</v>
      </c>
      <c r="B1399" s="6" t="s">
        <v>3801</v>
      </c>
      <c r="C1399" s="6" t="s">
        <v>12</v>
      </c>
      <c r="D1399" s="6" t="s">
        <v>3574</v>
      </c>
      <c r="E1399" s="6" t="s">
        <v>3770</v>
      </c>
      <c r="F1399" s="6" t="s">
        <v>3802</v>
      </c>
      <c r="G1399" s="6" t="s">
        <v>16</v>
      </c>
      <c r="H1399" s="5">
        <v>2</v>
      </c>
      <c r="I1399" s="6" t="s">
        <v>3803</v>
      </c>
      <c r="J1399" s="5">
        <v>540</v>
      </c>
    </row>
    <row r="1400" s="2" customFormat="1" spans="1:10">
      <c r="A1400" s="6">
        <f>1398</f>
        <v>1398</v>
      </c>
      <c r="B1400" s="6" t="s">
        <v>3804</v>
      </c>
      <c r="C1400" s="6" t="s">
        <v>12</v>
      </c>
      <c r="D1400" s="6" t="s">
        <v>3574</v>
      </c>
      <c r="E1400" s="6" t="s">
        <v>3770</v>
      </c>
      <c r="F1400" s="6" t="s">
        <v>3805</v>
      </c>
      <c r="G1400" s="6" t="s">
        <v>16</v>
      </c>
      <c r="H1400" s="5">
        <v>1</v>
      </c>
      <c r="I1400" s="6" t="s">
        <v>3805</v>
      </c>
      <c r="J1400" s="5">
        <v>193</v>
      </c>
    </row>
    <row r="1401" s="2" customFormat="1" spans="1:10">
      <c r="A1401" s="6">
        <f>1399</f>
        <v>1399</v>
      </c>
      <c r="B1401" s="6" t="s">
        <v>3806</v>
      </c>
      <c r="C1401" s="6" t="s">
        <v>12</v>
      </c>
      <c r="D1401" s="6" t="s">
        <v>3574</v>
      </c>
      <c r="E1401" s="6" t="s">
        <v>3770</v>
      </c>
      <c r="F1401" s="6" t="s">
        <v>3807</v>
      </c>
      <c r="G1401" s="6" t="s">
        <v>16</v>
      </c>
      <c r="H1401" s="5">
        <v>1</v>
      </c>
      <c r="I1401" s="6" t="s">
        <v>3807</v>
      </c>
      <c r="J1401" s="5">
        <v>193</v>
      </c>
    </row>
    <row r="1402" s="2" customFormat="1" ht="27" spans="1:10">
      <c r="A1402" s="6">
        <f>1400</f>
        <v>1400</v>
      </c>
      <c r="B1402" s="6" t="s">
        <v>3808</v>
      </c>
      <c r="C1402" s="6" t="s">
        <v>12</v>
      </c>
      <c r="D1402" s="6" t="s">
        <v>3574</v>
      </c>
      <c r="E1402" s="6" t="s">
        <v>3770</v>
      </c>
      <c r="F1402" s="6" t="s">
        <v>3809</v>
      </c>
      <c r="G1402" s="6" t="s">
        <v>16</v>
      </c>
      <c r="H1402" s="5">
        <v>5</v>
      </c>
      <c r="I1402" s="6" t="s">
        <v>3810</v>
      </c>
      <c r="J1402" s="5">
        <v>193</v>
      </c>
    </row>
    <row r="1403" s="2" customFormat="1" spans="1:10">
      <c r="A1403" s="6">
        <f>1401</f>
        <v>1401</v>
      </c>
      <c r="B1403" s="6" t="s">
        <v>3811</v>
      </c>
      <c r="C1403" s="6" t="s">
        <v>12</v>
      </c>
      <c r="D1403" s="6" t="s">
        <v>3574</v>
      </c>
      <c r="E1403" s="6" t="s">
        <v>3770</v>
      </c>
      <c r="F1403" s="6" t="s">
        <v>3812</v>
      </c>
      <c r="G1403" s="6" t="s">
        <v>16</v>
      </c>
      <c r="H1403" s="5">
        <v>1</v>
      </c>
      <c r="I1403" s="6" t="s">
        <v>3812</v>
      </c>
      <c r="J1403" s="5">
        <v>193</v>
      </c>
    </row>
    <row r="1404" s="2" customFormat="1" spans="1:10">
      <c r="A1404" s="6">
        <f>1402</f>
        <v>1402</v>
      </c>
      <c r="B1404" s="6" t="s">
        <v>3813</v>
      </c>
      <c r="C1404" s="6" t="s">
        <v>12</v>
      </c>
      <c r="D1404" s="6" t="s">
        <v>3574</v>
      </c>
      <c r="E1404" s="6" t="s">
        <v>3770</v>
      </c>
      <c r="F1404" s="6" t="s">
        <v>3814</v>
      </c>
      <c r="G1404" s="6" t="s">
        <v>16</v>
      </c>
      <c r="H1404" s="5">
        <v>2</v>
      </c>
      <c r="I1404" s="6" t="s">
        <v>3815</v>
      </c>
      <c r="J1404" s="5">
        <v>880</v>
      </c>
    </row>
    <row r="1405" s="2" customFormat="1" spans="1:10">
      <c r="A1405" s="6">
        <f>1403</f>
        <v>1403</v>
      </c>
      <c r="B1405" s="6" t="s">
        <v>3816</v>
      </c>
      <c r="C1405" s="6" t="s">
        <v>12</v>
      </c>
      <c r="D1405" s="6" t="s">
        <v>3574</v>
      </c>
      <c r="E1405" s="6" t="s">
        <v>3770</v>
      </c>
      <c r="F1405" s="6" t="s">
        <v>3817</v>
      </c>
      <c r="G1405" s="6" t="s">
        <v>16</v>
      </c>
      <c r="H1405" s="5">
        <v>1</v>
      </c>
      <c r="I1405" s="6" t="s">
        <v>3817</v>
      </c>
      <c r="J1405" s="5">
        <v>193</v>
      </c>
    </row>
    <row r="1406" s="2" customFormat="1" ht="27" spans="1:10">
      <c r="A1406" s="6">
        <f>1404</f>
        <v>1404</v>
      </c>
      <c r="B1406" s="6" t="s">
        <v>3818</v>
      </c>
      <c r="C1406" s="6" t="s">
        <v>12</v>
      </c>
      <c r="D1406" s="6" t="s">
        <v>3574</v>
      </c>
      <c r="E1406" s="6" t="s">
        <v>3770</v>
      </c>
      <c r="F1406" s="6" t="s">
        <v>3819</v>
      </c>
      <c r="G1406" s="6" t="s">
        <v>16</v>
      </c>
      <c r="H1406" s="5">
        <v>4</v>
      </c>
      <c r="I1406" s="6" t="s">
        <v>3820</v>
      </c>
      <c r="J1406" s="5">
        <v>819</v>
      </c>
    </row>
    <row r="1407" s="2" customFormat="1" ht="27" spans="1:10">
      <c r="A1407" s="6">
        <f>1405</f>
        <v>1405</v>
      </c>
      <c r="B1407" s="6" t="s">
        <v>3821</v>
      </c>
      <c r="C1407" s="6" t="s">
        <v>12</v>
      </c>
      <c r="D1407" s="6" t="s">
        <v>3574</v>
      </c>
      <c r="E1407" s="6" t="s">
        <v>3770</v>
      </c>
      <c r="F1407" s="6" t="s">
        <v>3822</v>
      </c>
      <c r="G1407" s="6" t="s">
        <v>16</v>
      </c>
      <c r="H1407" s="5">
        <v>4</v>
      </c>
      <c r="I1407" s="6" t="s">
        <v>3823</v>
      </c>
      <c r="J1407" s="5">
        <v>460</v>
      </c>
    </row>
    <row r="1408" s="2" customFormat="1" spans="1:10">
      <c r="A1408" s="6">
        <f>1406</f>
        <v>1406</v>
      </c>
      <c r="B1408" s="6" t="s">
        <v>3824</v>
      </c>
      <c r="C1408" s="6" t="s">
        <v>12</v>
      </c>
      <c r="D1408" s="6" t="s">
        <v>3574</v>
      </c>
      <c r="E1408" s="6" t="s">
        <v>3770</v>
      </c>
      <c r="F1408" s="6" t="s">
        <v>3825</v>
      </c>
      <c r="G1408" s="6" t="s">
        <v>16</v>
      </c>
      <c r="H1408" s="5">
        <v>1</v>
      </c>
      <c r="I1408" s="6" t="s">
        <v>3825</v>
      </c>
      <c r="J1408" s="5">
        <v>360</v>
      </c>
    </row>
    <row r="1409" s="2" customFormat="1" spans="1:10">
      <c r="A1409" s="6">
        <f>1407</f>
        <v>1407</v>
      </c>
      <c r="B1409" s="6" t="s">
        <v>3826</v>
      </c>
      <c r="C1409" s="6" t="s">
        <v>12</v>
      </c>
      <c r="D1409" s="6" t="s">
        <v>3574</v>
      </c>
      <c r="E1409" s="6" t="s">
        <v>3770</v>
      </c>
      <c r="F1409" s="6" t="s">
        <v>3827</v>
      </c>
      <c r="G1409" s="6" t="s">
        <v>16</v>
      </c>
      <c r="H1409" s="5">
        <v>3</v>
      </c>
      <c r="I1409" s="6" t="s">
        <v>3828</v>
      </c>
      <c r="J1409" s="5">
        <v>705</v>
      </c>
    </row>
    <row r="1410" s="2" customFormat="1" spans="1:10">
      <c r="A1410" s="6">
        <f>1408</f>
        <v>1408</v>
      </c>
      <c r="B1410" s="6" t="s">
        <v>3829</v>
      </c>
      <c r="C1410" s="6" t="s">
        <v>12</v>
      </c>
      <c r="D1410" s="6" t="s">
        <v>3574</v>
      </c>
      <c r="E1410" s="6" t="s">
        <v>3770</v>
      </c>
      <c r="F1410" s="6" t="s">
        <v>3830</v>
      </c>
      <c r="G1410" s="6" t="s">
        <v>16</v>
      </c>
      <c r="H1410" s="5">
        <v>2</v>
      </c>
      <c r="I1410" s="6" t="s">
        <v>3831</v>
      </c>
      <c r="J1410" s="5">
        <v>520</v>
      </c>
    </row>
    <row r="1411" s="2" customFormat="1" spans="1:10">
      <c r="A1411" s="6">
        <f>1409</f>
        <v>1409</v>
      </c>
      <c r="B1411" s="6" t="s">
        <v>3832</v>
      </c>
      <c r="C1411" s="6" t="s">
        <v>12</v>
      </c>
      <c r="D1411" s="6" t="s">
        <v>3574</v>
      </c>
      <c r="E1411" s="6" t="s">
        <v>3770</v>
      </c>
      <c r="F1411" s="6" t="s">
        <v>3833</v>
      </c>
      <c r="G1411" s="6" t="s">
        <v>16</v>
      </c>
      <c r="H1411" s="5">
        <v>2</v>
      </c>
      <c r="I1411" s="6" t="s">
        <v>3834</v>
      </c>
      <c r="J1411" s="5">
        <v>415</v>
      </c>
    </row>
    <row r="1412" s="2" customFormat="1" spans="1:10">
      <c r="A1412" s="6">
        <f>1410</f>
        <v>1410</v>
      </c>
      <c r="B1412" s="6" t="s">
        <v>3835</v>
      </c>
      <c r="C1412" s="6" t="s">
        <v>12</v>
      </c>
      <c r="D1412" s="6" t="s">
        <v>3574</v>
      </c>
      <c r="E1412" s="6" t="s">
        <v>3770</v>
      </c>
      <c r="F1412" s="6" t="s">
        <v>3836</v>
      </c>
      <c r="G1412" s="6" t="s">
        <v>16</v>
      </c>
      <c r="H1412" s="5">
        <v>1</v>
      </c>
      <c r="I1412" s="6" t="s">
        <v>3836</v>
      </c>
      <c r="J1412" s="5">
        <v>230</v>
      </c>
    </row>
    <row r="1413" s="2" customFormat="1" spans="1:10">
      <c r="A1413" s="6">
        <f>1411</f>
        <v>1411</v>
      </c>
      <c r="B1413" s="6" t="s">
        <v>3837</v>
      </c>
      <c r="C1413" s="6" t="s">
        <v>12</v>
      </c>
      <c r="D1413" s="6" t="s">
        <v>3574</v>
      </c>
      <c r="E1413" s="6" t="s">
        <v>3770</v>
      </c>
      <c r="F1413" s="6" t="s">
        <v>3838</v>
      </c>
      <c r="G1413" s="6" t="s">
        <v>16</v>
      </c>
      <c r="H1413" s="5">
        <v>1</v>
      </c>
      <c r="I1413" s="6" t="s">
        <v>3838</v>
      </c>
      <c r="J1413" s="5">
        <v>212</v>
      </c>
    </row>
    <row r="1414" s="2" customFormat="1" spans="1:10">
      <c r="A1414" s="6">
        <f>1412</f>
        <v>1412</v>
      </c>
      <c r="B1414" s="6" t="s">
        <v>3839</v>
      </c>
      <c r="C1414" s="6" t="s">
        <v>12</v>
      </c>
      <c r="D1414" s="6" t="s">
        <v>3574</v>
      </c>
      <c r="E1414" s="6" t="s">
        <v>3770</v>
      </c>
      <c r="F1414" s="6" t="s">
        <v>3840</v>
      </c>
      <c r="G1414" s="6" t="s">
        <v>16</v>
      </c>
      <c r="H1414" s="5">
        <v>2</v>
      </c>
      <c r="I1414" s="6" t="s">
        <v>3841</v>
      </c>
      <c r="J1414" s="5">
        <v>1240</v>
      </c>
    </row>
    <row r="1415" s="2" customFormat="1" spans="1:10">
      <c r="A1415" s="6">
        <f>1413</f>
        <v>1413</v>
      </c>
      <c r="B1415" s="6" t="s">
        <v>3842</v>
      </c>
      <c r="C1415" s="6" t="s">
        <v>12</v>
      </c>
      <c r="D1415" s="6" t="s">
        <v>3574</v>
      </c>
      <c r="E1415" s="6" t="s">
        <v>3770</v>
      </c>
      <c r="F1415" s="6" t="s">
        <v>3843</v>
      </c>
      <c r="G1415" s="6" t="s">
        <v>16</v>
      </c>
      <c r="H1415" s="5">
        <v>2</v>
      </c>
      <c r="I1415" s="6" t="s">
        <v>3844</v>
      </c>
      <c r="J1415" s="5">
        <v>520</v>
      </c>
    </row>
    <row r="1416" s="2" customFormat="1" spans="1:10">
      <c r="A1416" s="6">
        <f>1414</f>
        <v>1414</v>
      </c>
      <c r="B1416" s="6" t="s">
        <v>3845</v>
      </c>
      <c r="C1416" s="6" t="s">
        <v>12</v>
      </c>
      <c r="D1416" s="6" t="s">
        <v>3574</v>
      </c>
      <c r="E1416" s="6" t="s">
        <v>3770</v>
      </c>
      <c r="F1416" s="6" t="s">
        <v>3846</v>
      </c>
      <c r="G1416" s="6" t="s">
        <v>16</v>
      </c>
      <c r="H1416" s="5">
        <v>1</v>
      </c>
      <c r="I1416" s="6" t="s">
        <v>3846</v>
      </c>
      <c r="J1416" s="5">
        <v>260</v>
      </c>
    </row>
    <row r="1417" s="2" customFormat="1" ht="27" spans="1:10">
      <c r="A1417" s="6">
        <f>1415</f>
        <v>1415</v>
      </c>
      <c r="B1417" s="6" t="s">
        <v>3847</v>
      </c>
      <c r="C1417" s="6" t="s">
        <v>12</v>
      </c>
      <c r="D1417" s="6" t="s">
        <v>3574</v>
      </c>
      <c r="E1417" s="6" t="s">
        <v>3770</v>
      </c>
      <c r="F1417" s="6" t="s">
        <v>3848</v>
      </c>
      <c r="G1417" s="6" t="s">
        <v>16</v>
      </c>
      <c r="H1417" s="5">
        <v>5</v>
      </c>
      <c r="I1417" s="6" t="s">
        <v>3849</v>
      </c>
      <c r="J1417" s="5">
        <v>755</v>
      </c>
    </row>
    <row r="1418" s="2" customFormat="1" ht="27" spans="1:10">
      <c r="A1418" s="6">
        <f>1416</f>
        <v>1416</v>
      </c>
      <c r="B1418" s="6" t="s">
        <v>3850</v>
      </c>
      <c r="C1418" s="6" t="s">
        <v>12</v>
      </c>
      <c r="D1418" s="6" t="s">
        <v>3574</v>
      </c>
      <c r="E1418" s="6" t="s">
        <v>3770</v>
      </c>
      <c r="F1418" s="6" t="s">
        <v>3851</v>
      </c>
      <c r="G1418" s="6" t="s">
        <v>16</v>
      </c>
      <c r="H1418" s="5">
        <v>5</v>
      </c>
      <c r="I1418" s="6" t="s">
        <v>3852</v>
      </c>
      <c r="J1418" s="5">
        <v>273</v>
      </c>
    </row>
    <row r="1419" s="2" customFormat="1" ht="27" spans="1:10">
      <c r="A1419" s="6">
        <f>1417</f>
        <v>1417</v>
      </c>
      <c r="B1419" s="6" t="s">
        <v>3853</v>
      </c>
      <c r="C1419" s="6" t="s">
        <v>12</v>
      </c>
      <c r="D1419" s="6" t="s">
        <v>3574</v>
      </c>
      <c r="E1419" s="6" t="s">
        <v>3770</v>
      </c>
      <c r="F1419" s="6" t="s">
        <v>3854</v>
      </c>
      <c r="G1419" s="6" t="s">
        <v>16</v>
      </c>
      <c r="H1419" s="5">
        <v>4</v>
      </c>
      <c r="I1419" s="6" t="s">
        <v>3855</v>
      </c>
      <c r="J1419" s="5">
        <v>720</v>
      </c>
    </row>
    <row r="1420" s="2" customFormat="1" spans="1:10">
      <c r="A1420" s="6">
        <f>1418</f>
        <v>1418</v>
      </c>
      <c r="B1420" s="6" t="s">
        <v>3856</v>
      </c>
      <c r="C1420" s="6" t="s">
        <v>12</v>
      </c>
      <c r="D1420" s="6" t="s">
        <v>3574</v>
      </c>
      <c r="E1420" s="6" t="s">
        <v>3770</v>
      </c>
      <c r="F1420" s="6" t="s">
        <v>3857</v>
      </c>
      <c r="G1420" s="6" t="s">
        <v>16</v>
      </c>
      <c r="H1420" s="5">
        <v>2</v>
      </c>
      <c r="I1420" s="6" t="s">
        <v>3858</v>
      </c>
      <c r="J1420" s="5">
        <v>426</v>
      </c>
    </row>
    <row r="1421" s="2" customFormat="1" spans="1:10">
      <c r="A1421" s="6">
        <f>1419</f>
        <v>1419</v>
      </c>
      <c r="B1421" s="6" t="s">
        <v>3859</v>
      </c>
      <c r="C1421" s="6" t="s">
        <v>12</v>
      </c>
      <c r="D1421" s="6" t="s">
        <v>3574</v>
      </c>
      <c r="E1421" s="6" t="s">
        <v>3770</v>
      </c>
      <c r="F1421" s="6" t="s">
        <v>3860</v>
      </c>
      <c r="G1421" s="6" t="s">
        <v>16</v>
      </c>
      <c r="H1421" s="5">
        <v>3</v>
      </c>
      <c r="I1421" s="6" t="s">
        <v>3861</v>
      </c>
      <c r="J1421" s="5">
        <v>597</v>
      </c>
    </row>
    <row r="1422" s="2" customFormat="1" spans="1:10">
      <c r="A1422" s="6">
        <f>1420</f>
        <v>1420</v>
      </c>
      <c r="B1422" s="6" t="s">
        <v>3862</v>
      </c>
      <c r="C1422" s="6" t="s">
        <v>12</v>
      </c>
      <c r="D1422" s="6" t="s">
        <v>3574</v>
      </c>
      <c r="E1422" s="6" t="s">
        <v>3770</v>
      </c>
      <c r="F1422" s="6" t="s">
        <v>3863</v>
      </c>
      <c r="G1422" s="6" t="s">
        <v>16</v>
      </c>
      <c r="H1422" s="5">
        <v>1</v>
      </c>
      <c r="I1422" s="6" t="s">
        <v>3863</v>
      </c>
      <c r="J1422" s="5">
        <v>410</v>
      </c>
    </row>
    <row r="1423" s="2" customFormat="1" spans="1:10">
      <c r="A1423" s="6">
        <f>1421</f>
        <v>1421</v>
      </c>
      <c r="B1423" s="6" t="s">
        <v>3864</v>
      </c>
      <c r="C1423" s="6" t="s">
        <v>12</v>
      </c>
      <c r="D1423" s="6" t="s">
        <v>3574</v>
      </c>
      <c r="E1423" s="6" t="s">
        <v>3770</v>
      </c>
      <c r="F1423" s="6" t="s">
        <v>3865</v>
      </c>
      <c r="G1423" s="6" t="s">
        <v>16</v>
      </c>
      <c r="H1423" s="5">
        <v>1</v>
      </c>
      <c r="I1423" s="6" t="s">
        <v>3865</v>
      </c>
      <c r="J1423" s="5">
        <v>233</v>
      </c>
    </row>
    <row r="1424" s="2" customFormat="1" spans="1:10">
      <c r="A1424" s="6">
        <f>1422</f>
        <v>1422</v>
      </c>
      <c r="B1424" s="6" t="s">
        <v>3866</v>
      </c>
      <c r="C1424" s="6" t="s">
        <v>12</v>
      </c>
      <c r="D1424" s="6" t="s">
        <v>3574</v>
      </c>
      <c r="E1424" s="6" t="s">
        <v>3770</v>
      </c>
      <c r="F1424" s="6" t="s">
        <v>3867</v>
      </c>
      <c r="G1424" s="6" t="s">
        <v>16</v>
      </c>
      <c r="H1424" s="5">
        <v>3</v>
      </c>
      <c r="I1424" s="6" t="s">
        <v>3868</v>
      </c>
      <c r="J1424" s="5">
        <v>834</v>
      </c>
    </row>
    <row r="1425" s="2" customFormat="1" spans="1:10">
      <c r="A1425" s="6">
        <f>1423</f>
        <v>1423</v>
      </c>
      <c r="B1425" s="6" t="s">
        <v>3869</v>
      </c>
      <c r="C1425" s="6" t="s">
        <v>12</v>
      </c>
      <c r="D1425" s="6" t="s">
        <v>3574</v>
      </c>
      <c r="E1425" s="6" t="s">
        <v>3870</v>
      </c>
      <c r="F1425" s="6" t="s">
        <v>3871</v>
      </c>
      <c r="G1425" s="6" t="s">
        <v>16</v>
      </c>
      <c r="H1425" s="5">
        <v>2</v>
      </c>
      <c r="I1425" s="6" t="s">
        <v>3872</v>
      </c>
      <c r="J1425" s="5">
        <v>514</v>
      </c>
    </row>
    <row r="1426" s="2" customFormat="1" spans="1:10">
      <c r="A1426" s="6">
        <f>1424</f>
        <v>1424</v>
      </c>
      <c r="B1426" s="6" t="s">
        <v>3873</v>
      </c>
      <c r="C1426" s="6" t="s">
        <v>12</v>
      </c>
      <c r="D1426" s="6" t="s">
        <v>3574</v>
      </c>
      <c r="E1426" s="6" t="s">
        <v>3870</v>
      </c>
      <c r="F1426" s="6" t="s">
        <v>3874</v>
      </c>
      <c r="G1426" s="6" t="s">
        <v>16</v>
      </c>
      <c r="H1426" s="5">
        <v>1</v>
      </c>
      <c r="I1426" s="6" t="s">
        <v>3874</v>
      </c>
      <c r="J1426" s="5">
        <v>620</v>
      </c>
    </row>
    <row r="1427" s="2" customFormat="1" spans="1:10">
      <c r="A1427" s="6">
        <f>1425</f>
        <v>1425</v>
      </c>
      <c r="B1427" s="6" t="s">
        <v>3875</v>
      </c>
      <c r="C1427" s="6" t="s">
        <v>12</v>
      </c>
      <c r="D1427" s="6" t="s">
        <v>3574</v>
      </c>
      <c r="E1427" s="6" t="s">
        <v>3870</v>
      </c>
      <c r="F1427" s="6" t="s">
        <v>3876</v>
      </c>
      <c r="G1427" s="6" t="s">
        <v>16</v>
      </c>
      <c r="H1427" s="5">
        <v>2</v>
      </c>
      <c r="I1427" s="6" t="s">
        <v>3877</v>
      </c>
      <c r="J1427" s="5">
        <v>780</v>
      </c>
    </row>
    <row r="1428" s="2" customFormat="1" spans="1:10">
      <c r="A1428" s="6">
        <f>1426</f>
        <v>1426</v>
      </c>
      <c r="B1428" s="6" t="s">
        <v>3878</v>
      </c>
      <c r="C1428" s="6" t="s">
        <v>12</v>
      </c>
      <c r="D1428" s="6" t="s">
        <v>3574</v>
      </c>
      <c r="E1428" s="6" t="s">
        <v>3870</v>
      </c>
      <c r="F1428" s="6" t="s">
        <v>3879</v>
      </c>
      <c r="G1428" s="6" t="s">
        <v>16</v>
      </c>
      <c r="H1428" s="5">
        <v>3</v>
      </c>
      <c r="I1428" s="6" t="s">
        <v>3880</v>
      </c>
      <c r="J1428" s="5">
        <v>1120</v>
      </c>
    </row>
    <row r="1429" s="2" customFormat="1" spans="1:10">
      <c r="A1429" s="6">
        <f>1427</f>
        <v>1427</v>
      </c>
      <c r="B1429" s="6" t="s">
        <v>3881</v>
      </c>
      <c r="C1429" s="6" t="s">
        <v>12</v>
      </c>
      <c r="D1429" s="6" t="s">
        <v>3574</v>
      </c>
      <c r="E1429" s="6" t="s">
        <v>3870</v>
      </c>
      <c r="F1429" s="6" t="s">
        <v>3882</v>
      </c>
      <c r="G1429" s="6" t="s">
        <v>16</v>
      </c>
      <c r="H1429" s="5">
        <v>2</v>
      </c>
      <c r="I1429" s="6" t="s">
        <v>3883</v>
      </c>
      <c r="J1429" s="5">
        <v>520</v>
      </c>
    </row>
    <row r="1430" s="2" customFormat="1" spans="1:10">
      <c r="A1430" s="6">
        <f>1428</f>
        <v>1428</v>
      </c>
      <c r="B1430" s="6" t="s">
        <v>3884</v>
      </c>
      <c r="C1430" s="6" t="s">
        <v>12</v>
      </c>
      <c r="D1430" s="6" t="s">
        <v>3574</v>
      </c>
      <c r="E1430" s="6" t="s">
        <v>3870</v>
      </c>
      <c r="F1430" s="6" t="s">
        <v>3885</v>
      </c>
      <c r="G1430" s="6" t="s">
        <v>16</v>
      </c>
      <c r="H1430" s="5">
        <v>2</v>
      </c>
      <c r="I1430" s="6" t="s">
        <v>3886</v>
      </c>
      <c r="J1430" s="5">
        <v>880</v>
      </c>
    </row>
    <row r="1431" s="2" customFormat="1" ht="27" spans="1:10">
      <c r="A1431" s="6">
        <f>1429</f>
        <v>1429</v>
      </c>
      <c r="B1431" s="6" t="s">
        <v>3887</v>
      </c>
      <c r="C1431" s="6" t="s">
        <v>12</v>
      </c>
      <c r="D1431" s="6" t="s">
        <v>3574</v>
      </c>
      <c r="E1431" s="6" t="s">
        <v>3870</v>
      </c>
      <c r="F1431" s="6" t="s">
        <v>3888</v>
      </c>
      <c r="G1431" s="6" t="s">
        <v>16</v>
      </c>
      <c r="H1431" s="5">
        <v>4</v>
      </c>
      <c r="I1431" s="6" t="s">
        <v>3889</v>
      </c>
      <c r="J1431" s="5">
        <v>1140</v>
      </c>
    </row>
    <row r="1432" s="2" customFormat="1" spans="1:10">
      <c r="A1432" s="6">
        <f>1430</f>
        <v>1430</v>
      </c>
      <c r="B1432" s="6" t="s">
        <v>3890</v>
      </c>
      <c r="C1432" s="6" t="s">
        <v>12</v>
      </c>
      <c r="D1432" s="6" t="s">
        <v>3574</v>
      </c>
      <c r="E1432" s="6" t="s">
        <v>3870</v>
      </c>
      <c r="F1432" s="6" t="s">
        <v>3891</v>
      </c>
      <c r="G1432" s="6" t="s">
        <v>16</v>
      </c>
      <c r="H1432" s="5">
        <v>2</v>
      </c>
      <c r="I1432" s="6" t="s">
        <v>3892</v>
      </c>
      <c r="J1432" s="5">
        <v>600</v>
      </c>
    </row>
    <row r="1433" s="2" customFormat="1" ht="27" spans="1:10">
      <c r="A1433" s="6">
        <f>1431</f>
        <v>1431</v>
      </c>
      <c r="B1433" s="6" t="s">
        <v>3893</v>
      </c>
      <c r="C1433" s="6" t="s">
        <v>12</v>
      </c>
      <c r="D1433" s="6" t="s">
        <v>3574</v>
      </c>
      <c r="E1433" s="6" t="s">
        <v>3870</v>
      </c>
      <c r="F1433" s="6" t="s">
        <v>3894</v>
      </c>
      <c r="G1433" s="6" t="s">
        <v>16</v>
      </c>
      <c r="H1433" s="5">
        <v>4</v>
      </c>
      <c r="I1433" s="6" t="s">
        <v>3895</v>
      </c>
      <c r="J1433" s="5">
        <v>960</v>
      </c>
    </row>
    <row r="1434" s="2" customFormat="1" spans="1:10">
      <c r="A1434" s="6">
        <f>1432</f>
        <v>1432</v>
      </c>
      <c r="B1434" s="6" t="s">
        <v>3896</v>
      </c>
      <c r="C1434" s="6" t="s">
        <v>12</v>
      </c>
      <c r="D1434" s="6" t="s">
        <v>3574</v>
      </c>
      <c r="E1434" s="6" t="s">
        <v>3870</v>
      </c>
      <c r="F1434" s="6" t="s">
        <v>3897</v>
      </c>
      <c r="G1434" s="6" t="s">
        <v>16</v>
      </c>
      <c r="H1434" s="5">
        <v>3</v>
      </c>
      <c r="I1434" s="6" t="s">
        <v>3898</v>
      </c>
      <c r="J1434" s="5">
        <v>560</v>
      </c>
    </row>
    <row r="1435" s="2" customFormat="1" ht="27" spans="1:10">
      <c r="A1435" s="6">
        <f>1433</f>
        <v>1433</v>
      </c>
      <c r="B1435" s="6" t="s">
        <v>3899</v>
      </c>
      <c r="C1435" s="6" t="s">
        <v>12</v>
      </c>
      <c r="D1435" s="6" t="s">
        <v>3574</v>
      </c>
      <c r="E1435" s="6" t="s">
        <v>3870</v>
      </c>
      <c r="F1435" s="6" t="s">
        <v>3900</v>
      </c>
      <c r="G1435" s="6" t="s">
        <v>16</v>
      </c>
      <c r="H1435" s="5">
        <v>5</v>
      </c>
      <c r="I1435" s="6" t="s">
        <v>3901</v>
      </c>
      <c r="J1435" s="5">
        <v>2200</v>
      </c>
    </row>
    <row r="1436" s="2" customFormat="1" spans="1:10">
      <c r="A1436" s="6">
        <f>1434</f>
        <v>1434</v>
      </c>
      <c r="B1436" s="6" t="s">
        <v>3902</v>
      </c>
      <c r="C1436" s="6" t="s">
        <v>12</v>
      </c>
      <c r="D1436" s="6" t="s">
        <v>3574</v>
      </c>
      <c r="E1436" s="6" t="s">
        <v>3870</v>
      </c>
      <c r="F1436" s="6" t="s">
        <v>3903</v>
      </c>
      <c r="G1436" s="6" t="s">
        <v>16</v>
      </c>
      <c r="H1436" s="5">
        <v>2</v>
      </c>
      <c r="I1436" s="6" t="s">
        <v>3904</v>
      </c>
      <c r="J1436" s="5">
        <v>820</v>
      </c>
    </row>
    <row r="1437" s="2" customFormat="1" spans="1:10">
      <c r="A1437" s="6">
        <f>1435</f>
        <v>1435</v>
      </c>
      <c r="B1437" s="6" t="s">
        <v>3905</v>
      </c>
      <c r="C1437" s="6" t="s">
        <v>12</v>
      </c>
      <c r="D1437" s="6" t="s">
        <v>3574</v>
      </c>
      <c r="E1437" s="6" t="s">
        <v>3870</v>
      </c>
      <c r="F1437" s="6" t="s">
        <v>3906</v>
      </c>
      <c r="G1437" s="6" t="s">
        <v>16</v>
      </c>
      <c r="H1437" s="5">
        <v>1</v>
      </c>
      <c r="I1437" s="6" t="s">
        <v>3906</v>
      </c>
      <c r="J1437" s="5">
        <v>240</v>
      </c>
    </row>
    <row r="1438" s="2" customFormat="1" spans="1:10">
      <c r="A1438" s="6">
        <f>1436</f>
        <v>1436</v>
      </c>
      <c r="B1438" s="6" t="s">
        <v>3907</v>
      </c>
      <c r="C1438" s="6" t="s">
        <v>12</v>
      </c>
      <c r="D1438" s="6" t="s">
        <v>3574</v>
      </c>
      <c r="E1438" s="6" t="s">
        <v>3870</v>
      </c>
      <c r="F1438" s="6" t="s">
        <v>3908</v>
      </c>
      <c r="G1438" s="6" t="s">
        <v>16</v>
      </c>
      <c r="H1438" s="5">
        <v>2</v>
      </c>
      <c r="I1438" s="6" t="s">
        <v>3909</v>
      </c>
      <c r="J1438" s="5">
        <v>629</v>
      </c>
    </row>
    <row r="1439" s="2" customFormat="1" spans="1:10">
      <c r="A1439" s="6">
        <f>1437</f>
        <v>1437</v>
      </c>
      <c r="B1439" s="6" t="s">
        <v>3910</v>
      </c>
      <c r="C1439" s="6" t="s">
        <v>12</v>
      </c>
      <c r="D1439" s="6" t="s">
        <v>3574</v>
      </c>
      <c r="E1439" s="6" t="s">
        <v>3870</v>
      </c>
      <c r="F1439" s="6" t="s">
        <v>3911</v>
      </c>
      <c r="G1439" s="6" t="s">
        <v>16</v>
      </c>
      <c r="H1439" s="5">
        <v>2</v>
      </c>
      <c r="I1439" s="6" t="s">
        <v>3912</v>
      </c>
      <c r="J1439" s="5">
        <v>522</v>
      </c>
    </row>
    <row r="1440" s="2" customFormat="1" spans="1:10">
      <c r="A1440" s="6">
        <f>1438</f>
        <v>1438</v>
      </c>
      <c r="B1440" s="6" t="s">
        <v>3913</v>
      </c>
      <c r="C1440" s="6" t="s">
        <v>12</v>
      </c>
      <c r="D1440" s="6" t="s">
        <v>3574</v>
      </c>
      <c r="E1440" s="6" t="s">
        <v>3870</v>
      </c>
      <c r="F1440" s="6" t="s">
        <v>3914</v>
      </c>
      <c r="G1440" s="6" t="s">
        <v>16</v>
      </c>
      <c r="H1440" s="5">
        <v>2</v>
      </c>
      <c r="I1440" s="6" t="s">
        <v>3915</v>
      </c>
      <c r="J1440" s="5">
        <v>570</v>
      </c>
    </row>
    <row r="1441" s="2" customFormat="1" spans="1:10">
      <c r="A1441" s="6">
        <f>1439</f>
        <v>1439</v>
      </c>
      <c r="B1441" s="6" t="s">
        <v>3916</v>
      </c>
      <c r="C1441" s="6" t="s">
        <v>12</v>
      </c>
      <c r="D1441" s="6" t="s">
        <v>3574</v>
      </c>
      <c r="E1441" s="6" t="s">
        <v>3870</v>
      </c>
      <c r="F1441" s="6" t="s">
        <v>3917</v>
      </c>
      <c r="G1441" s="6" t="s">
        <v>16</v>
      </c>
      <c r="H1441" s="5">
        <v>2</v>
      </c>
      <c r="I1441" s="6" t="s">
        <v>3918</v>
      </c>
      <c r="J1441" s="5">
        <v>470</v>
      </c>
    </row>
    <row r="1442" s="2" customFormat="1" ht="27" spans="1:10">
      <c r="A1442" s="6">
        <f>1440</f>
        <v>1440</v>
      </c>
      <c r="B1442" s="6" t="s">
        <v>3919</v>
      </c>
      <c r="C1442" s="6" t="s">
        <v>12</v>
      </c>
      <c r="D1442" s="6" t="s">
        <v>3574</v>
      </c>
      <c r="E1442" s="6" t="s">
        <v>3870</v>
      </c>
      <c r="F1442" s="6" t="s">
        <v>3920</v>
      </c>
      <c r="G1442" s="6" t="s">
        <v>16</v>
      </c>
      <c r="H1442" s="5">
        <v>6</v>
      </c>
      <c r="I1442" s="6" t="s">
        <v>3921</v>
      </c>
      <c r="J1442" s="5">
        <v>1310</v>
      </c>
    </row>
    <row r="1443" s="2" customFormat="1" spans="1:10">
      <c r="A1443" s="6">
        <f>1441</f>
        <v>1441</v>
      </c>
      <c r="B1443" s="6" t="s">
        <v>3922</v>
      </c>
      <c r="C1443" s="6" t="s">
        <v>12</v>
      </c>
      <c r="D1443" s="6" t="s">
        <v>3574</v>
      </c>
      <c r="E1443" s="6" t="s">
        <v>3870</v>
      </c>
      <c r="F1443" s="6" t="s">
        <v>3923</v>
      </c>
      <c r="G1443" s="6" t="s">
        <v>16</v>
      </c>
      <c r="H1443" s="5">
        <v>3</v>
      </c>
      <c r="I1443" s="6" t="s">
        <v>3924</v>
      </c>
      <c r="J1443" s="5">
        <v>798</v>
      </c>
    </row>
    <row r="1444" s="2" customFormat="1" ht="27" spans="1:10">
      <c r="A1444" s="6">
        <f>1442</f>
        <v>1442</v>
      </c>
      <c r="B1444" s="6" t="s">
        <v>3925</v>
      </c>
      <c r="C1444" s="6" t="s">
        <v>12</v>
      </c>
      <c r="D1444" s="6" t="s">
        <v>3574</v>
      </c>
      <c r="E1444" s="6" t="s">
        <v>3870</v>
      </c>
      <c r="F1444" s="6" t="s">
        <v>3926</v>
      </c>
      <c r="G1444" s="6" t="s">
        <v>16</v>
      </c>
      <c r="H1444" s="5">
        <v>6</v>
      </c>
      <c r="I1444" s="6" t="s">
        <v>3927</v>
      </c>
      <c r="J1444" s="5">
        <v>2160</v>
      </c>
    </row>
    <row r="1445" s="2" customFormat="1" spans="1:10">
      <c r="A1445" s="6">
        <f>1443</f>
        <v>1443</v>
      </c>
      <c r="B1445" s="6" t="s">
        <v>3928</v>
      </c>
      <c r="C1445" s="6" t="s">
        <v>12</v>
      </c>
      <c r="D1445" s="6" t="s">
        <v>3574</v>
      </c>
      <c r="E1445" s="6" t="s">
        <v>3870</v>
      </c>
      <c r="F1445" s="6" t="s">
        <v>3929</v>
      </c>
      <c r="G1445" s="6" t="s">
        <v>16</v>
      </c>
      <c r="H1445" s="5">
        <v>1</v>
      </c>
      <c r="I1445" s="6" t="s">
        <v>3929</v>
      </c>
      <c r="J1445" s="5">
        <v>260</v>
      </c>
    </row>
    <row r="1446" s="2" customFormat="1" spans="1:10">
      <c r="A1446" s="6">
        <f>1444</f>
        <v>1444</v>
      </c>
      <c r="B1446" s="6" t="s">
        <v>3930</v>
      </c>
      <c r="C1446" s="6" t="s">
        <v>12</v>
      </c>
      <c r="D1446" s="6" t="s">
        <v>3574</v>
      </c>
      <c r="E1446" s="6" t="s">
        <v>3870</v>
      </c>
      <c r="F1446" s="6" t="s">
        <v>3931</v>
      </c>
      <c r="G1446" s="6" t="s">
        <v>16</v>
      </c>
      <c r="H1446" s="5">
        <v>3</v>
      </c>
      <c r="I1446" s="6" t="s">
        <v>3932</v>
      </c>
      <c r="J1446" s="5">
        <v>1380</v>
      </c>
    </row>
    <row r="1447" s="2" customFormat="1" spans="1:10">
      <c r="A1447" s="6">
        <f>1445</f>
        <v>1445</v>
      </c>
      <c r="B1447" s="6" t="s">
        <v>3933</v>
      </c>
      <c r="C1447" s="6" t="s">
        <v>12</v>
      </c>
      <c r="D1447" s="6" t="s">
        <v>3574</v>
      </c>
      <c r="E1447" s="6" t="s">
        <v>3870</v>
      </c>
      <c r="F1447" s="6" t="s">
        <v>3934</v>
      </c>
      <c r="G1447" s="6" t="s">
        <v>16</v>
      </c>
      <c r="H1447" s="5">
        <v>1</v>
      </c>
      <c r="I1447" s="6" t="s">
        <v>3934</v>
      </c>
      <c r="J1447" s="5">
        <v>210</v>
      </c>
    </row>
    <row r="1448" s="2" customFormat="1" spans="1:10">
      <c r="A1448" s="6">
        <f>1446</f>
        <v>1446</v>
      </c>
      <c r="B1448" s="6" t="s">
        <v>3935</v>
      </c>
      <c r="C1448" s="6" t="s">
        <v>12</v>
      </c>
      <c r="D1448" s="6" t="s">
        <v>3574</v>
      </c>
      <c r="E1448" s="6" t="s">
        <v>3870</v>
      </c>
      <c r="F1448" s="6" t="s">
        <v>3936</v>
      </c>
      <c r="G1448" s="6" t="s">
        <v>16</v>
      </c>
      <c r="H1448" s="5">
        <v>2</v>
      </c>
      <c r="I1448" s="6" t="s">
        <v>3937</v>
      </c>
      <c r="J1448" s="5">
        <v>550</v>
      </c>
    </row>
    <row r="1449" s="2" customFormat="1" spans="1:10">
      <c r="A1449" s="6">
        <f>1447</f>
        <v>1447</v>
      </c>
      <c r="B1449" s="6" t="s">
        <v>3938</v>
      </c>
      <c r="C1449" s="6" t="s">
        <v>12</v>
      </c>
      <c r="D1449" s="6" t="s">
        <v>3574</v>
      </c>
      <c r="E1449" s="6" t="s">
        <v>3870</v>
      </c>
      <c r="F1449" s="6" t="s">
        <v>3939</v>
      </c>
      <c r="G1449" s="6" t="s">
        <v>16</v>
      </c>
      <c r="H1449" s="5">
        <v>2</v>
      </c>
      <c r="I1449" s="6" t="s">
        <v>3940</v>
      </c>
      <c r="J1449" s="5">
        <v>544</v>
      </c>
    </row>
    <row r="1450" s="2" customFormat="1" spans="1:10">
      <c r="A1450" s="6">
        <f>1448</f>
        <v>1448</v>
      </c>
      <c r="B1450" s="6" t="s">
        <v>3941</v>
      </c>
      <c r="C1450" s="6" t="s">
        <v>12</v>
      </c>
      <c r="D1450" s="6" t="s">
        <v>3574</v>
      </c>
      <c r="E1450" s="6" t="s">
        <v>3870</v>
      </c>
      <c r="F1450" s="6" t="s">
        <v>3942</v>
      </c>
      <c r="G1450" s="6" t="s">
        <v>16</v>
      </c>
      <c r="H1450" s="5">
        <v>2</v>
      </c>
      <c r="I1450" s="6" t="s">
        <v>3943</v>
      </c>
      <c r="J1450" s="5">
        <v>606</v>
      </c>
    </row>
    <row r="1451" s="2" customFormat="1" spans="1:10">
      <c r="A1451" s="6">
        <f>1449</f>
        <v>1449</v>
      </c>
      <c r="B1451" s="6" t="s">
        <v>3944</v>
      </c>
      <c r="C1451" s="6" t="s">
        <v>12</v>
      </c>
      <c r="D1451" s="6" t="s">
        <v>3574</v>
      </c>
      <c r="E1451" s="6" t="s">
        <v>3870</v>
      </c>
      <c r="F1451" s="6" t="s">
        <v>3945</v>
      </c>
      <c r="G1451" s="6" t="s">
        <v>16</v>
      </c>
      <c r="H1451" s="5">
        <v>3</v>
      </c>
      <c r="I1451" s="6" t="s">
        <v>3946</v>
      </c>
      <c r="J1451" s="5">
        <v>848</v>
      </c>
    </row>
    <row r="1452" s="2" customFormat="1" spans="1:10">
      <c r="A1452" s="6">
        <f>1450</f>
        <v>1450</v>
      </c>
      <c r="B1452" s="6" t="s">
        <v>3947</v>
      </c>
      <c r="C1452" s="6" t="s">
        <v>12</v>
      </c>
      <c r="D1452" s="6" t="s">
        <v>3574</v>
      </c>
      <c r="E1452" s="6" t="s">
        <v>3870</v>
      </c>
      <c r="F1452" s="6" t="s">
        <v>3948</v>
      </c>
      <c r="G1452" s="6" t="s">
        <v>16</v>
      </c>
      <c r="H1452" s="5">
        <v>1</v>
      </c>
      <c r="I1452" s="6" t="s">
        <v>3948</v>
      </c>
      <c r="J1452" s="5">
        <v>343</v>
      </c>
    </row>
    <row r="1453" s="2" customFormat="1" spans="1:10">
      <c r="A1453" s="6">
        <f>1451</f>
        <v>1451</v>
      </c>
      <c r="B1453" s="6" t="s">
        <v>3949</v>
      </c>
      <c r="C1453" s="6" t="s">
        <v>12</v>
      </c>
      <c r="D1453" s="6" t="s">
        <v>3574</v>
      </c>
      <c r="E1453" s="6" t="s">
        <v>3870</v>
      </c>
      <c r="F1453" s="6" t="s">
        <v>3950</v>
      </c>
      <c r="G1453" s="6" t="s">
        <v>16</v>
      </c>
      <c r="H1453" s="5">
        <v>2</v>
      </c>
      <c r="I1453" s="6" t="s">
        <v>3951</v>
      </c>
      <c r="J1453" s="5">
        <v>654</v>
      </c>
    </row>
    <row r="1454" s="2" customFormat="1" spans="1:10">
      <c r="A1454" s="6">
        <f>1452</f>
        <v>1452</v>
      </c>
      <c r="B1454" s="6" t="s">
        <v>3952</v>
      </c>
      <c r="C1454" s="6" t="s">
        <v>12</v>
      </c>
      <c r="D1454" s="6" t="s">
        <v>3574</v>
      </c>
      <c r="E1454" s="6" t="s">
        <v>3870</v>
      </c>
      <c r="F1454" s="6" t="s">
        <v>3953</v>
      </c>
      <c r="G1454" s="6" t="s">
        <v>16</v>
      </c>
      <c r="H1454" s="5">
        <v>2</v>
      </c>
      <c r="I1454" s="6" t="s">
        <v>3954</v>
      </c>
      <c r="J1454" s="5">
        <v>560</v>
      </c>
    </row>
    <row r="1455" s="2" customFormat="1" ht="27" spans="1:10">
      <c r="A1455" s="6">
        <f>1453</f>
        <v>1453</v>
      </c>
      <c r="B1455" s="6" t="s">
        <v>3955</v>
      </c>
      <c r="C1455" s="6" t="s">
        <v>12</v>
      </c>
      <c r="D1455" s="6" t="s">
        <v>3574</v>
      </c>
      <c r="E1455" s="6" t="s">
        <v>3870</v>
      </c>
      <c r="F1455" s="6" t="s">
        <v>3956</v>
      </c>
      <c r="G1455" s="6" t="s">
        <v>16</v>
      </c>
      <c r="H1455" s="5">
        <v>5</v>
      </c>
      <c r="I1455" s="6" t="s">
        <v>3957</v>
      </c>
      <c r="J1455" s="5">
        <v>800</v>
      </c>
    </row>
    <row r="1456" s="2" customFormat="1" spans="1:10">
      <c r="A1456" s="6">
        <f>1454</f>
        <v>1454</v>
      </c>
      <c r="B1456" s="6" t="s">
        <v>3958</v>
      </c>
      <c r="C1456" s="6" t="s">
        <v>12</v>
      </c>
      <c r="D1456" s="6" t="s">
        <v>3574</v>
      </c>
      <c r="E1456" s="6" t="s">
        <v>3870</v>
      </c>
      <c r="F1456" s="6" t="s">
        <v>3959</v>
      </c>
      <c r="G1456" s="6" t="s">
        <v>16</v>
      </c>
      <c r="H1456" s="5">
        <v>3</v>
      </c>
      <c r="I1456" s="6" t="s">
        <v>3960</v>
      </c>
      <c r="J1456" s="5">
        <v>810</v>
      </c>
    </row>
    <row r="1457" s="2" customFormat="1" spans="1:10">
      <c r="A1457" s="6">
        <f>1455</f>
        <v>1455</v>
      </c>
      <c r="B1457" s="6" t="s">
        <v>3961</v>
      </c>
      <c r="C1457" s="6" t="s">
        <v>12</v>
      </c>
      <c r="D1457" s="6" t="s">
        <v>3574</v>
      </c>
      <c r="E1457" s="6" t="s">
        <v>3870</v>
      </c>
      <c r="F1457" s="6" t="s">
        <v>3962</v>
      </c>
      <c r="G1457" s="6" t="s">
        <v>16</v>
      </c>
      <c r="H1457" s="5">
        <v>1</v>
      </c>
      <c r="I1457" s="6" t="s">
        <v>3962</v>
      </c>
      <c r="J1457" s="5">
        <v>270</v>
      </c>
    </row>
    <row r="1458" s="2" customFormat="1" ht="27" spans="1:10">
      <c r="A1458" s="6">
        <f>1456</f>
        <v>1456</v>
      </c>
      <c r="B1458" s="6" t="s">
        <v>3963</v>
      </c>
      <c r="C1458" s="6" t="s">
        <v>12</v>
      </c>
      <c r="D1458" s="6" t="s">
        <v>3574</v>
      </c>
      <c r="E1458" s="6" t="s">
        <v>3870</v>
      </c>
      <c r="F1458" s="6" t="s">
        <v>3964</v>
      </c>
      <c r="G1458" s="6" t="s">
        <v>16</v>
      </c>
      <c r="H1458" s="5">
        <v>4</v>
      </c>
      <c r="I1458" s="6" t="s">
        <v>3965</v>
      </c>
      <c r="J1458" s="5">
        <v>940</v>
      </c>
    </row>
    <row r="1459" s="2" customFormat="1" ht="27" spans="1:10">
      <c r="A1459" s="6">
        <f>1457</f>
        <v>1457</v>
      </c>
      <c r="B1459" s="6" t="s">
        <v>3966</v>
      </c>
      <c r="C1459" s="6" t="s">
        <v>12</v>
      </c>
      <c r="D1459" s="6" t="s">
        <v>3574</v>
      </c>
      <c r="E1459" s="6" t="s">
        <v>3870</v>
      </c>
      <c r="F1459" s="6" t="s">
        <v>3967</v>
      </c>
      <c r="G1459" s="6" t="s">
        <v>16</v>
      </c>
      <c r="H1459" s="5">
        <v>4</v>
      </c>
      <c r="I1459" s="6" t="s">
        <v>3968</v>
      </c>
      <c r="J1459" s="5">
        <v>640</v>
      </c>
    </row>
    <row r="1460" s="2" customFormat="1" spans="1:10">
      <c r="A1460" s="6">
        <f>1458</f>
        <v>1458</v>
      </c>
      <c r="B1460" s="6" t="s">
        <v>3969</v>
      </c>
      <c r="C1460" s="6" t="s">
        <v>12</v>
      </c>
      <c r="D1460" s="6" t="s">
        <v>3574</v>
      </c>
      <c r="E1460" s="6" t="s">
        <v>3970</v>
      </c>
      <c r="F1460" s="6" t="s">
        <v>3971</v>
      </c>
      <c r="G1460" s="6" t="s">
        <v>16</v>
      </c>
      <c r="H1460" s="5">
        <v>2</v>
      </c>
      <c r="I1460" s="6" t="s">
        <v>3972</v>
      </c>
      <c r="J1460" s="5">
        <v>620</v>
      </c>
    </row>
    <row r="1461" s="2" customFormat="1" spans="1:10">
      <c r="A1461" s="6">
        <f>1459</f>
        <v>1459</v>
      </c>
      <c r="B1461" s="6" t="s">
        <v>3973</v>
      </c>
      <c r="C1461" s="6" t="s">
        <v>12</v>
      </c>
      <c r="D1461" s="6" t="s">
        <v>3574</v>
      </c>
      <c r="E1461" s="6" t="s">
        <v>3970</v>
      </c>
      <c r="F1461" s="6" t="s">
        <v>3974</v>
      </c>
      <c r="G1461" s="6" t="s">
        <v>16</v>
      </c>
      <c r="H1461" s="5">
        <v>1</v>
      </c>
      <c r="I1461" s="6" t="s">
        <v>3974</v>
      </c>
      <c r="J1461" s="5">
        <v>440</v>
      </c>
    </row>
    <row r="1462" s="2" customFormat="1" spans="1:10">
      <c r="A1462" s="6">
        <f>1460</f>
        <v>1460</v>
      </c>
      <c r="B1462" s="6" t="s">
        <v>3975</v>
      </c>
      <c r="C1462" s="6" t="s">
        <v>12</v>
      </c>
      <c r="D1462" s="6" t="s">
        <v>3574</v>
      </c>
      <c r="E1462" s="6" t="s">
        <v>3970</v>
      </c>
      <c r="F1462" s="6" t="s">
        <v>3976</v>
      </c>
      <c r="G1462" s="6" t="s">
        <v>16</v>
      </c>
      <c r="H1462" s="5">
        <v>3</v>
      </c>
      <c r="I1462" s="6" t="s">
        <v>3977</v>
      </c>
      <c r="J1462" s="5">
        <v>480</v>
      </c>
    </row>
    <row r="1463" s="2" customFormat="1" spans="1:10">
      <c r="A1463" s="6">
        <f>1461</f>
        <v>1461</v>
      </c>
      <c r="B1463" s="6" t="s">
        <v>3978</v>
      </c>
      <c r="C1463" s="6" t="s">
        <v>12</v>
      </c>
      <c r="D1463" s="6" t="s">
        <v>3574</v>
      </c>
      <c r="E1463" s="6" t="s">
        <v>3970</v>
      </c>
      <c r="F1463" s="6" t="s">
        <v>3979</v>
      </c>
      <c r="G1463" s="6" t="s">
        <v>16</v>
      </c>
      <c r="H1463" s="5">
        <v>3</v>
      </c>
      <c r="I1463" s="6" t="s">
        <v>3980</v>
      </c>
      <c r="J1463" s="5">
        <v>880</v>
      </c>
    </row>
    <row r="1464" s="2" customFormat="1" spans="1:10">
      <c r="A1464" s="6">
        <f>1462</f>
        <v>1462</v>
      </c>
      <c r="B1464" s="6" t="s">
        <v>3981</v>
      </c>
      <c r="C1464" s="6" t="s">
        <v>12</v>
      </c>
      <c r="D1464" s="6" t="s">
        <v>3574</v>
      </c>
      <c r="E1464" s="6" t="s">
        <v>3970</v>
      </c>
      <c r="F1464" s="6" t="s">
        <v>3982</v>
      </c>
      <c r="G1464" s="6" t="s">
        <v>16</v>
      </c>
      <c r="H1464" s="5">
        <v>2</v>
      </c>
      <c r="I1464" s="6" t="s">
        <v>3983</v>
      </c>
      <c r="J1464" s="5">
        <v>720</v>
      </c>
    </row>
    <row r="1465" s="2" customFormat="1" spans="1:10">
      <c r="A1465" s="6">
        <f>1463</f>
        <v>1463</v>
      </c>
      <c r="B1465" s="6" t="s">
        <v>3984</v>
      </c>
      <c r="C1465" s="6" t="s">
        <v>12</v>
      </c>
      <c r="D1465" s="6" t="s">
        <v>3574</v>
      </c>
      <c r="E1465" s="6" t="s">
        <v>3970</v>
      </c>
      <c r="F1465" s="6" t="s">
        <v>3985</v>
      </c>
      <c r="G1465" s="6" t="s">
        <v>16</v>
      </c>
      <c r="H1465" s="5">
        <v>3</v>
      </c>
      <c r="I1465" s="6" t="s">
        <v>3986</v>
      </c>
      <c r="J1465" s="5">
        <v>780</v>
      </c>
    </row>
    <row r="1466" s="2" customFormat="1" spans="1:10">
      <c r="A1466" s="6">
        <f>1464</f>
        <v>1464</v>
      </c>
      <c r="B1466" s="6" t="s">
        <v>3987</v>
      </c>
      <c r="C1466" s="6" t="s">
        <v>12</v>
      </c>
      <c r="D1466" s="6" t="s">
        <v>3574</v>
      </c>
      <c r="E1466" s="6" t="s">
        <v>3970</v>
      </c>
      <c r="F1466" s="6" t="s">
        <v>3988</v>
      </c>
      <c r="G1466" s="6" t="s">
        <v>16</v>
      </c>
      <c r="H1466" s="5">
        <v>2</v>
      </c>
      <c r="I1466" s="6" t="s">
        <v>3989</v>
      </c>
      <c r="J1466" s="5">
        <v>500</v>
      </c>
    </row>
    <row r="1467" s="2" customFormat="1" spans="1:10">
      <c r="A1467" s="6">
        <f>1465</f>
        <v>1465</v>
      </c>
      <c r="B1467" s="6" t="s">
        <v>3990</v>
      </c>
      <c r="C1467" s="6" t="s">
        <v>12</v>
      </c>
      <c r="D1467" s="6" t="s">
        <v>3574</v>
      </c>
      <c r="E1467" s="6" t="s">
        <v>3970</v>
      </c>
      <c r="F1467" s="6" t="s">
        <v>3991</v>
      </c>
      <c r="G1467" s="6" t="s">
        <v>16</v>
      </c>
      <c r="H1467" s="5">
        <v>1</v>
      </c>
      <c r="I1467" s="6" t="s">
        <v>3991</v>
      </c>
      <c r="J1467" s="5">
        <v>373</v>
      </c>
    </row>
    <row r="1468" s="2" customFormat="1" ht="27" spans="1:10">
      <c r="A1468" s="6">
        <f>1466</f>
        <v>1466</v>
      </c>
      <c r="B1468" s="6" t="s">
        <v>3992</v>
      </c>
      <c r="C1468" s="6" t="s">
        <v>12</v>
      </c>
      <c r="D1468" s="6" t="s">
        <v>3574</v>
      </c>
      <c r="E1468" s="6" t="s">
        <v>3970</v>
      </c>
      <c r="F1468" s="6" t="s">
        <v>3993</v>
      </c>
      <c r="G1468" s="6" t="s">
        <v>16</v>
      </c>
      <c r="H1468" s="5">
        <v>5</v>
      </c>
      <c r="I1468" s="6" t="s">
        <v>3994</v>
      </c>
      <c r="J1468" s="5">
        <v>956</v>
      </c>
    </row>
    <row r="1469" s="2" customFormat="1" spans="1:10">
      <c r="A1469" s="6">
        <f>1467</f>
        <v>1467</v>
      </c>
      <c r="B1469" s="6" t="s">
        <v>3995</v>
      </c>
      <c r="C1469" s="6" t="s">
        <v>12</v>
      </c>
      <c r="D1469" s="6" t="s">
        <v>3574</v>
      </c>
      <c r="E1469" s="6" t="s">
        <v>3970</v>
      </c>
      <c r="F1469" s="6" t="s">
        <v>3996</v>
      </c>
      <c r="G1469" s="6" t="s">
        <v>16</v>
      </c>
      <c r="H1469" s="5">
        <v>1</v>
      </c>
      <c r="I1469" s="6" t="s">
        <v>3996</v>
      </c>
      <c r="J1469" s="5">
        <v>360</v>
      </c>
    </row>
    <row r="1470" s="2" customFormat="1" spans="1:10">
      <c r="A1470" s="6">
        <f>1468</f>
        <v>1468</v>
      </c>
      <c r="B1470" s="6" t="s">
        <v>3997</v>
      </c>
      <c r="C1470" s="6" t="s">
        <v>12</v>
      </c>
      <c r="D1470" s="6" t="s">
        <v>3574</v>
      </c>
      <c r="E1470" s="6" t="s">
        <v>3970</v>
      </c>
      <c r="F1470" s="6" t="s">
        <v>3998</v>
      </c>
      <c r="G1470" s="6" t="s">
        <v>16</v>
      </c>
      <c r="H1470" s="5">
        <v>3</v>
      </c>
      <c r="I1470" s="6" t="s">
        <v>3999</v>
      </c>
      <c r="J1470" s="5">
        <v>680</v>
      </c>
    </row>
    <row r="1471" s="2" customFormat="1" spans="1:10">
      <c r="A1471" s="6">
        <f>1469</f>
        <v>1469</v>
      </c>
      <c r="B1471" s="6" t="s">
        <v>4000</v>
      </c>
      <c r="C1471" s="6" t="s">
        <v>12</v>
      </c>
      <c r="D1471" s="6" t="s">
        <v>3574</v>
      </c>
      <c r="E1471" s="6" t="s">
        <v>3970</v>
      </c>
      <c r="F1471" s="6" t="s">
        <v>4001</v>
      </c>
      <c r="G1471" s="6" t="s">
        <v>16</v>
      </c>
      <c r="H1471" s="5">
        <v>1</v>
      </c>
      <c r="I1471" s="6" t="s">
        <v>4001</v>
      </c>
      <c r="J1471" s="5">
        <v>260</v>
      </c>
    </row>
    <row r="1472" s="2" customFormat="1" spans="1:10">
      <c r="A1472" s="6">
        <f>1470</f>
        <v>1470</v>
      </c>
      <c r="B1472" s="6" t="s">
        <v>4002</v>
      </c>
      <c r="C1472" s="6" t="s">
        <v>12</v>
      </c>
      <c r="D1472" s="6" t="s">
        <v>3574</v>
      </c>
      <c r="E1472" s="6" t="s">
        <v>3970</v>
      </c>
      <c r="F1472" s="6" t="s">
        <v>4003</v>
      </c>
      <c r="G1472" s="6" t="s">
        <v>16</v>
      </c>
      <c r="H1472" s="5">
        <v>2</v>
      </c>
      <c r="I1472" s="6" t="s">
        <v>4004</v>
      </c>
      <c r="J1472" s="5">
        <v>466</v>
      </c>
    </row>
    <row r="1473" s="2" customFormat="1" spans="1:10">
      <c r="A1473" s="6">
        <f>1471</f>
        <v>1471</v>
      </c>
      <c r="B1473" s="6" t="s">
        <v>4005</v>
      </c>
      <c r="C1473" s="6" t="s">
        <v>12</v>
      </c>
      <c r="D1473" s="6" t="s">
        <v>3574</v>
      </c>
      <c r="E1473" s="6" t="s">
        <v>3970</v>
      </c>
      <c r="F1473" s="6" t="s">
        <v>4006</v>
      </c>
      <c r="G1473" s="6" t="s">
        <v>16</v>
      </c>
      <c r="H1473" s="5">
        <v>2</v>
      </c>
      <c r="I1473" s="6" t="s">
        <v>4007</v>
      </c>
      <c r="J1473" s="5">
        <v>540</v>
      </c>
    </row>
    <row r="1474" s="2" customFormat="1" spans="1:10">
      <c r="A1474" s="6">
        <f>1472</f>
        <v>1472</v>
      </c>
      <c r="B1474" s="6" t="s">
        <v>4008</v>
      </c>
      <c r="C1474" s="6" t="s">
        <v>12</v>
      </c>
      <c r="D1474" s="6" t="s">
        <v>3574</v>
      </c>
      <c r="E1474" s="6" t="s">
        <v>3970</v>
      </c>
      <c r="F1474" s="6" t="s">
        <v>4009</v>
      </c>
      <c r="G1474" s="6" t="s">
        <v>16</v>
      </c>
      <c r="H1474" s="5">
        <v>3</v>
      </c>
      <c r="I1474" s="6" t="s">
        <v>4010</v>
      </c>
      <c r="J1474" s="5">
        <v>641</v>
      </c>
    </row>
    <row r="1475" s="2" customFormat="1" spans="1:10">
      <c r="A1475" s="6">
        <f>1473</f>
        <v>1473</v>
      </c>
      <c r="B1475" s="6" t="s">
        <v>4011</v>
      </c>
      <c r="C1475" s="6" t="s">
        <v>12</v>
      </c>
      <c r="D1475" s="6" t="s">
        <v>3574</v>
      </c>
      <c r="E1475" s="6" t="s">
        <v>3970</v>
      </c>
      <c r="F1475" s="6" t="s">
        <v>4012</v>
      </c>
      <c r="G1475" s="6" t="s">
        <v>16</v>
      </c>
      <c r="H1475" s="5">
        <v>1</v>
      </c>
      <c r="I1475" s="6" t="s">
        <v>4012</v>
      </c>
      <c r="J1475" s="5">
        <v>387</v>
      </c>
    </row>
    <row r="1476" s="2" customFormat="1" spans="1:10">
      <c r="A1476" s="6">
        <f>1474</f>
        <v>1474</v>
      </c>
      <c r="B1476" s="6" t="s">
        <v>4013</v>
      </c>
      <c r="C1476" s="6" t="s">
        <v>12</v>
      </c>
      <c r="D1476" s="6" t="s">
        <v>3574</v>
      </c>
      <c r="E1476" s="6" t="s">
        <v>3970</v>
      </c>
      <c r="F1476" s="6" t="s">
        <v>4014</v>
      </c>
      <c r="G1476" s="6" t="s">
        <v>16</v>
      </c>
      <c r="H1476" s="5">
        <v>1</v>
      </c>
      <c r="I1476" s="6" t="s">
        <v>4014</v>
      </c>
      <c r="J1476" s="5">
        <v>363</v>
      </c>
    </row>
    <row r="1477" s="2" customFormat="1" spans="1:10">
      <c r="A1477" s="6">
        <f>1475</f>
        <v>1475</v>
      </c>
      <c r="B1477" s="6" t="s">
        <v>4015</v>
      </c>
      <c r="C1477" s="6" t="s">
        <v>12</v>
      </c>
      <c r="D1477" s="6" t="s">
        <v>3574</v>
      </c>
      <c r="E1477" s="6" t="s">
        <v>3970</v>
      </c>
      <c r="F1477" s="6" t="s">
        <v>4016</v>
      </c>
      <c r="G1477" s="6" t="s">
        <v>16</v>
      </c>
      <c r="H1477" s="5">
        <v>3</v>
      </c>
      <c r="I1477" s="6" t="s">
        <v>4017</v>
      </c>
      <c r="J1477" s="5">
        <v>665</v>
      </c>
    </row>
    <row r="1478" s="2" customFormat="1" spans="1:10">
      <c r="A1478" s="6">
        <f>1476</f>
        <v>1476</v>
      </c>
      <c r="B1478" s="6" t="s">
        <v>4018</v>
      </c>
      <c r="C1478" s="6" t="s">
        <v>12</v>
      </c>
      <c r="D1478" s="6" t="s">
        <v>3574</v>
      </c>
      <c r="E1478" s="6" t="s">
        <v>3970</v>
      </c>
      <c r="F1478" s="6" t="s">
        <v>4019</v>
      </c>
      <c r="G1478" s="6" t="s">
        <v>16</v>
      </c>
      <c r="H1478" s="5">
        <v>3</v>
      </c>
      <c r="I1478" s="6" t="s">
        <v>4020</v>
      </c>
      <c r="J1478" s="5">
        <v>810</v>
      </c>
    </row>
    <row r="1479" s="2" customFormat="1" spans="1:10">
      <c r="A1479" s="6">
        <f>1477</f>
        <v>1477</v>
      </c>
      <c r="B1479" s="6" t="s">
        <v>4021</v>
      </c>
      <c r="C1479" s="6" t="s">
        <v>12</v>
      </c>
      <c r="D1479" s="6" t="s">
        <v>3574</v>
      </c>
      <c r="E1479" s="6" t="s">
        <v>3970</v>
      </c>
      <c r="F1479" s="6" t="s">
        <v>3546</v>
      </c>
      <c r="G1479" s="6" t="s">
        <v>16</v>
      </c>
      <c r="H1479" s="5">
        <v>2</v>
      </c>
      <c r="I1479" s="6" t="s">
        <v>4022</v>
      </c>
      <c r="J1479" s="5">
        <v>610</v>
      </c>
    </row>
    <row r="1480" s="2" customFormat="1" spans="1:10">
      <c r="A1480" s="6">
        <f>1478</f>
        <v>1478</v>
      </c>
      <c r="B1480" s="6" t="s">
        <v>4023</v>
      </c>
      <c r="C1480" s="6" t="s">
        <v>12</v>
      </c>
      <c r="D1480" s="6" t="s">
        <v>3574</v>
      </c>
      <c r="E1480" s="6" t="s">
        <v>3970</v>
      </c>
      <c r="F1480" s="6" t="s">
        <v>4024</v>
      </c>
      <c r="G1480" s="6" t="s">
        <v>16</v>
      </c>
      <c r="H1480" s="5">
        <v>3</v>
      </c>
      <c r="I1480" s="6" t="s">
        <v>4025</v>
      </c>
      <c r="J1480" s="5">
        <v>680</v>
      </c>
    </row>
    <row r="1481" s="2" customFormat="1" spans="1:10">
      <c r="A1481" s="6">
        <f>1479</f>
        <v>1479</v>
      </c>
      <c r="B1481" s="6" t="s">
        <v>4026</v>
      </c>
      <c r="C1481" s="6" t="s">
        <v>12</v>
      </c>
      <c r="D1481" s="6" t="s">
        <v>3574</v>
      </c>
      <c r="E1481" s="6" t="s">
        <v>3970</v>
      </c>
      <c r="F1481" s="6" t="s">
        <v>4027</v>
      </c>
      <c r="G1481" s="6" t="s">
        <v>16</v>
      </c>
      <c r="H1481" s="5">
        <v>3</v>
      </c>
      <c r="I1481" s="6" t="s">
        <v>4028</v>
      </c>
      <c r="J1481" s="5">
        <v>880</v>
      </c>
    </row>
    <row r="1482" s="2" customFormat="1" spans="1:10">
      <c r="A1482" s="6">
        <f>1480</f>
        <v>1480</v>
      </c>
      <c r="B1482" s="6" t="s">
        <v>4029</v>
      </c>
      <c r="C1482" s="6" t="s">
        <v>12</v>
      </c>
      <c r="D1482" s="6" t="s">
        <v>3574</v>
      </c>
      <c r="E1482" s="6" t="s">
        <v>3970</v>
      </c>
      <c r="F1482" s="6" t="s">
        <v>4030</v>
      </c>
      <c r="G1482" s="6" t="s">
        <v>16</v>
      </c>
      <c r="H1482" s="5">
        <v>2</v>
      </c>
      <c r="I1482" s="6" t="s">
        <v>4031</v>
      </c>
      <c r="J1482" s="5">
        <v>620</v>
      </c>
    </row>
    <row r="1483" s="2" customFormat="1" spans="1:10">
      <c r="A1483" s="6">
        <f>1481</f>
        <v>1481</v>
      </c>
      <c r="B1483" s="6" t="s">
        <v>4032</v>
      </c>
      <c r="C1483" s="6" t="s">
        <v>12</v>
      </c>
      <c r="D1483" s="6" t="s">
        <v>3574</v>
      </c>
      <c r="E1483" s="6" t="s">
        <v>3970</v>
      </c>
      <c r="F1483" s="6" t="s">
        <v>4033</v>
      </c>
      <c r="G1483" s="6" t="s">
        <v>16</v>
      </c>
      <c r="H1483" s="5">
        <v>1</v>
      </c>
      <c r="I1483" s="6" t="s">
        <v>4033</v>
      </c>
      <c r="J1483" s="5">
        <v>260</v>
      </c>
    </row>
    <row r="1484" s="2" customFormat="1" spans="1:10">
      <c r="A1484" s="6">
        <f>1482</f>
        <v>1482</v>
      </c>
      <c r="B1484" s="6" t="s">
        <v>4034</v>
      </c>
      <c r="C1484" s="6" t="s">
        <v>12</v>
      </c>
      <c r="D1484" s="6" t="s">
        <v>3574</v>
      </c>
      <c r="E1484" s="6" t="s">
        <v>3970</v>
      </c>
      <c r="F1484" s="6" t="s">
        <v>4035</v>
      </c>
      <c r="G1484" s="6" t="s">
        <v>16</v>
      </c>
      <c r="H1484" s="5">
        <v>1</v>
      </c>
      <c r="I1484" s="6" t="s">
        <v>4035</v>
      </c>
      <c r="J1484" s="5">
        <v>330</v>
      </c>
    </row>
    <row r="1485" s="2" customFormat="1" spans="1:10">
      <c r="A1485" s="6">
        <f>1483</f>
        <v>1483</v>
      </c>
      <c r="B1485" s="6" t="s">
        <v>4036</v>
      </c>
      <c r="C1485" s="6" t="s">
        <v>12</v>
      </c>
      <c r="D1485" s="6" t="s">
        <v>3574</v>
      </c>
      <c r="E1485" s="6" t="s">
        <v>3970</v>
      </c>
      <c r="F1485" s="6" t="s">
        <v>4037</v>
      </c>
      <c r="G1485" s="6" t="s">
        <v>16</v>
      </c>
      <c r="H1485" s="5">
        <v>3</v>
      </c>
      <c r="I1485" s="6" t="s">
        <v>4038</v>
      </c>
      <c r="J1485" s="5">
        <v>700</v>
      </c>
    </row>
    <row r="1486" s="2" customFormat="1" spans="1:10">
      <c r="A1486" s="6">
        <f>1484</f>
        <v>1484</v>
      </c>
      <c r="B1486" s="6" t="s">
        <v>4039</v>
      </c>
      <c r="C1486" s="6" t="s">
        <v>12</v>
      </c>
      <c r="D1486" s="6" t="s">
        <v>3574</v>
      </c>
      <c r="E1486" s="6" t="s">
        <v>3970</v>
      </c>
      <c r="F1486" s="6" t="s">
        <v>4040</v>
      </c>
      <c r="G1486" s="6" t="s">
        <v>16</v>
      </c>
      <c r="H1486" s="5">
        <v>1</v>
      </c>
      <c r="I1486" s="6" t="s">
        <v>4040</v>
      </c>
      <c r="J1486" s="5">
        <v>373</v>
      </c>
    </row>
    <row r="1487" s="2" customFormat="1" spans="1:10">
      <c r="A1487" s="6">
        <f>1485</f>
        <v>1485</v>
      </c>
      <c r="B1487" s="6" t="s">
        <v>4041</v>
      </c>
      <c r="C1487" s="6" t="s">
        <v>12</v>
      </c>
      <c r="D1487" s="6" t="s">
        <v>3574</v>
      </c>
      <c r="E1487" s="6" t="s">
        <v>3970</v>
      </c>
      <c r="F1487" s="6" t="s">
        <v>4042</v>
      </c>
      <c r="G1487" s="6" t="s">
        <v>16</v>
      </c>
      <c r="H1487" s="5">
        <v>2</v>
      </c>
      <c r="I1487" s="6" t="s">
        <v>4043</v>
      </c>
      <c r="J1487" s="5">
        <v>480</v>
      </c>
    </row>
    <row r="1488" s="2" customFormat="1" spans="1:10">
      <c r="A1488" s="6">
        <f>1486</f>
        <v>1486</v>
      </c>
      <c r="B1488" s="6" t="s">
        <v>4044</v>
      </c>
      <c r="C1488" s="6" t="s">
        <v>12</v>
      </c>
      <c r="D1488" s="6" t="s">
        <v>3574</v>
      </c>
      <c r="E1488" s="6" t="s">
        <v>3970</v>
      </c>
      <c r="F1488" s="6" t="s">
        <v>4045</v>
      </c>
      <c r="G1488" s="6" t="s">
        <v>16</v>
      </c>
      <c r="H1488" s="5">
        <v>2</v>
      </c>
      <c r="I1488" s="6" t="s">
        <v>4046</v>
      </c>
      <c r="J1488" s="5">
        <v>520</v>
      </c>
    </row>
    <row r="1489" s="2" customFormat="1" spans="1:10">
      <c r="A1489" s="6">
        <f>1487</f>
        <v>1487</v>
      </c>
      <c r="B1489" s="6" t="s">
        <v>4047</v>
      </c>
      <c r="C1489" s="6" t="s">
        <v>12</v>
      </c>
      <c r="D1489" s="6" t="s">
        <v>3574</v>
      </c>
      <c r="E1489" s="6" t="s">
        <v>3970</v>
      </c>
      <c r="F1489" s="6" t="s">
        <v>4048</v>
      </c>
      <c r="G1489" s="6" t="s">
        <v>16</v>
      </c>
      <c r="H1489" s="5">
        <v>2</v>
      </c>
      <c r="I1489" s="6" t="s">
        <v>4049</v>
      </c>
      <c r="J1489" s="5">
        <v>500</v>
      </c>
    </row>
    <row r="1490" s="2" customFormat="1" spans="1:10">
      <c r="A1490" s="6">
        <f>1488</f>
        <v>1488</v>
      </c>
      <c r="B1490" s="6" t="s">
        <v>4050</v>
      </c>
      <c r="C1490" s="6" t="s">
        <v>12</v>
      </c>
      <c r="D1490" s="6" t="s">
        <v>3574</v>
      </c>
      <c r="E1490" s="6" t="s">
        <v>3970</v>
      </c>
      <c r="F1490" s="6" t="s">
        <v>4051</v>
      </c>
      <c r="G1490" s="6" t="s">
        <v>16</v>
      </c>
      <c r="H1490" s="5">
        <v>1</v>
      </c>
      <c r="I1490" s="6" t="s">
        <v>4051</v>
      </c>
      <c r="J1490" s="5">
        <v>320</v>
      </c>
    </row>
    <row r="1491" s="2" customFormat="1" ht="27" spans="1:10">
      <c r="A1491" s="6">
        <f>1489</f>
        <v>1489</v>
      </c>
      <c r="B1491" s="6" t="s">
        <v>4052</v>
      </c>
      <c r="C1491" s="6" t="s">
        <v>12</v>
      </c>
      <c r="D1491" s="6" t="s">
        <v>3574</v>
      </c>
      <c r="E1491" s="6" t="s">
        <v>3970</v>
      </c>
      <c r="F1491" s="6" t="s">
        <v>4053</v>
      </c>
      <c r="G1491" s="6" t="s">
        <v>16</v>
      </c>
      <c r="H1491" s="5">
        <v>4</v>
      </c>
      <c r="I1491" s="6" t="s">
        <v>4054</v>
      </c>
      <c r="J1491" s="5">
        <v>1000</v>
      </c>
    </row>
    <row r="1492" s="2" customFormat="1" spans="1:10">
      <c r="A1492" s="6">
        <f>1490</f>
        <v>1490</v>
      </c>
      <c r="B1492" s="6" t="s">
        <v>4055</v>
      </c>
      <c r="C1492" s="6" t="s">
        <v>12</v>
      </c>
      <c r="D1492" s="6" t="s">
        <v>3574</v>
      </c>
      <c r="E1492" s="6" t="s">
        <v>3970</v>
      </c>
      <c r="F1492" s="6" t="s">
        <v>4056</v>
      </c>
      <c r="G1492" s="6" t="s">
        <v>16</v>
      </c>
      <c r="H1492" s="5">
        <v>3</v>
      </c>
      <c r="I1492" s="6" t="s">
        <v>4057</v>
      </c>
      <c r="J1492" s="5">
        <v>641</v>
      </c>
    </row>
    <row r="1493" s="2" customFormat="1" spans="1:10">
      <c r="A1493" s="6">
        <f>1491</f>
        <v>1491</v>
      </c>
      <c r="B1493" s="6" t="s">
        <v>4058</v>
      </c>
      <c r="C1493" s="6" t="s">
        <v>12</v>
      </c>
      <c r="D1493" s="6" t="s">
        <v>3574</v>
      </c>
      <c r="E1493" s="6" t="s">
        <v>3970</v>
      </c>
      <c r="F1493" s="6" t="s">
        <v>4059</v>
      </c>
      <c r="G1493" s="6" t="s">
        <v>16</v>
      </c>
      <c r="H1493" s="5">
        <v>2</v>
      </c>
      <c r="I1493" s="6" t="s">
        <v>4060</v>
      </c>
      <c r="J1493" s="5">
        <v>555</v>
      </c>
    </row>
    <row r="1494" s="2" customFormat="1" spans="1:10">
      <c r="A1494" s="6">
        <f>1492</f>
        <v>1492</v>
      </c>
      <c r="B1494" s="6" t="s">
        <v>4061</v>
      </c>
      <c r="C1494" s="6" t="s">
        <v>12</v>
      </c>
      <c r="D1494" s="6" t="s">
        <v>3574</v>
      </c>
      <c r="E1494" s="6" t="s">
        <v>3970</v>
      </c>
      <c r="F1494" s="6" t="s">
        <v>4062</v>
      </c>
      <c r="G1494" s="6" t="s">
        <v>16</v>
      </c>
      <c r="H1494" s="5">
        <v>3</v>
      </c>
      <c r="I1494" s="6" t="s">
        <v>4063</v>
      </c>
      <c r="J1494" s="5">
        <v>600</v>
      </c>
    </row>
    <row r="1495" s="2" customFormat="1" spans="1:10">
      <c r="A1495" s="6">
        <f>1493</f>
        <v>1493</v>
      </c>
      <c r="B1495" s="6" t="s">
        <v>4064</v>
      </c>
      <c r="C1495" s="6" t="s">
        <v>12</v>
      </c>
      <c r="D1495" s="6" t="s">
        <v>3574</v>
      </c>
      <c r="E1495" s="6" t="s">
        <v>3970</v>
      </c>
      <c r="F1495" s="6" t="s">
        <v>4065</v>
      </c>
      <c r="G1495" s="6" t="s">
        <v>16</v>
      </c>
      <c r="H1495" s="5">
        <v>2</v>
      </c>
      <c r="I1495" s="6" t="s">
        <v>4066</v>
      </c>
      <c r="J1495" s="5">
        <v>642</v>
      </c>
    </row>
    <row r="1496" s="2" customFormat="1" spans="1:10">
      <c r="A1496" s="6">
        <f>1494</f>
        <v>1494</v>
      </c>
      <c r="B1496" s="6" t="s">
        <v>4067</v>
      </c>
      <c r="C1496" s="6" t="s">
        <v>12</v>
      </c>
      <c r="D1496" s="6" t="s">
        <v>3574</v>
      </c>
      <c r="E1496" s="6" t="s">
        <v>3970</v>
      </c>
      <c r="F1496" s="6" t="s">
        <v>4068</v>
      </c>
      <c r="G1496" s="6" t="s">
        <v>16</v>
      </c>
      <c r="H1496" s="5">
        <v>1</v>
      </c>
      <c r="I1496" s="6" t="s">
        <v>4068</v>
      </c>
      <c r="J1496" s="5">
        <v>373</v>
      </c>
    </row>
    <row r="1497" s="2" customFormat="1" spans="1:10">
      <c r="A1497" s="6">
        <f>1495</f>
        <v>1495</v>
      </c>
      <c r="B1497" s="6" t="s">
        <v>4069</v>
      </c>
      <c r="C1497" s="6" t="s">
        <v>12</v>
      </c>
      <c r="D1497" s="6" t="s">
        <v>3574</v>
      </c>
      <c r="E1497" s="6" t="s">
        <v>3970</v>
      </c>
      <c r="F1497" s="6" t="s">
        <v>4070</v>
      </c>
      <c r="G1497" s="6" t="s">
        <v>16</v>
      </c>
      <c r="H1497" s="5">
        <v>1</v>
      </c>
      <c r="I1497" s="6" t="s">
        <v>4070</v>
      </c>
      <c r="J1497" s="5">
        <v>378</v>
      </c>
    </row>
    <row r="1498" s="2" customFormat="1" spans="1:10">
      <c r="A1498" s="6">
        <f>1496</f>
        <v>1496</v>
      </c>
      <c r="B1498" s="6" t="s">
        <v>4071</v>
      </c>
      <c r="C1498" s="6" t="s">
        <v>12</v>
      </c>
      <c r="D1498" s="6" t="s">
        <v>3574</v>
      </c>
      <c r="E1498" s="6" t="s">
        <v>3970</v>
      </c>
      <c r="F1498" s="6" t="s">
        <v>4072</v>
      </c>
      <c r="G1498" s="6" t="s">
        <v>16</v>
      </c>
      <c r="H1498" s="5">
        <v>1</v>
      </c>
      <c r="I1498" s="6" t="s">
        <v>4072</v>
      </c>
      <c r="J1498" s="5">
        <v>340</v>
      </c>
    </row>
    <row r="1499" s="2" customFormat="1" spans="1:10">
      <c r="A1499" s="6">
        <f>1497</f>
        <v>1497</v>
      </c>
      <c r="B1499" s="6" t="s">
        <v>4073</v>
      </c>
      <c r="C1499" s="6" t="s">
        <v>12</v>
      </c>
      <c r="D1499" s="6" t="s">
        <v>3574</v>
      </c>
      <c r="E1499" s="6" t="s">
        <v>3970</v>
      </c>
      <c r="F1499" s="6" t="s">
        <v>4074</v>
      </c>
      <c r="G1499" s="6" t="s">
        <v>16</v>
      </c>
      <c r="H1499" s="5">
        <v>1</v>
      </c>
      <c r="I1499" s="6" t="s">
        <v>4074</v>
      </c>
      <c r="J1499" s="5">
        <v>345</v>
      </c>
    </row>
    <row r="1500" s="2" customFormat="1" spans="1:10">
      <c r="A1500" s="6">
        <f>1498</f>
        <v>1498</v>
      </c>
      <c r="B1500" s="6" t="s">
        <v>4075</v>
      </c>
      <c r="C1500" s="6" t="s">
        <v>12</v>
      </c>
      <c r="D1500" s="6" t="s">
        <v>3574</v>
      </c>
      <c r="E1500" s="6" t="s">
        <v>3970</v>
      </c>
      <c r="F1500" s="6" t="s">
        <v>4076</v>
      </c>
      <c r="G1500" s="6" t="s">
        <v>16</v>
      </c>
      <c r="H1500" s="5">
        <v>2</v>
      </c>
      <c r="I1500" s="6" t="s">
        <v>4077</v>
      </c>
      <c r="J1500" s="5">
        <v>780</v>
      </c>
    </row>
    <row r="1501" s="2" customFormat="1" spans="1:10">
      <c r="A1501" s="6">
        <f>1499</f>
        <v>1499</v>
      </c>
      <c r="B1501" s="6" t="s">
        <v>4078</v>
      </c>
      <c r="C1501" s="6" t="s">
        <v>12</v>
      </c>
      <c r="D1501" s="6" t="s">
        <v>3574</v>
      </c>
      <c r="E1501" s="6" t="s">
        <v>3970</v>
      </c>
      <c r="F1501" s="6" t="s">
        <v>4079</v>
      </c>
      <c r="G1501" s="6" t="s">
        <v>16</v>
      </c>
      <c r="H1501" s="5">
        <v>2</v>
      </c>
      <c r="I1501" s="6" t="s">
        <v>4080</v>
      </c>
      <c r="J1501" s="5">
        <v>486</v>
      </c>
    </row>
    <row r="1502" s="2" customFormat="1" spans="1:10">
      <c r="A1502" s="6">
        <f>1500</f>
        <v>1500</v>
      </c>
      <c r="B1502" s="6" t="s">
        <v>4081</v>
      </c>
      <c r="C1502" s="6" t="s">
        <v>12</v>
      </c>
      <c r="D1502" s="6" t="s">
        <v>3574</v>
      </c>
      <c r="E1502" s="6" t="s">
        <v>3970</v>
      </c>
      <c r="F1502" s="6" t="s">
        <v>4082</v>
      </c>
      <c r="G1502" s="6" t="s">
        <v>16</v>
      </c>
      <c r="H1502" s="5">
        <v>1</v>
      </c>
      <c r="I1502" s="6" t="s">
        <v>4082</v>
      </c>
      <c r="J1502" s="5">
        <v>270</v>
      </c>
    </row>
    <row r="1503" s="2" customFormat="1" spans="1:10">
      <c r="A1503" s="6">
        <f>1501</f>
        <v>1501</v>
      </c>
      <c r="B1503" s="6" t="s">
        <v>4083</v>
      </c>
      <c r="C1503" s="6" t="s">
        <v>12</v>
      </c>
      <c r="D1503" s="6" t="s">
        <v>3574</v>
      </c>
      <c r="E1503" s="6" t="s">
        <v>3970</v>
      </c>
      <c r="F1503" s="6" t="s">
        <v>4084</v>
      </c>
      <c r="G1503" s="6" t="s">
        <v>16</v>
      </c>
      <c r="H1503" s="5">
        <v>2</v>
      </c>
      <c r="I1503" s="6" t="s">
        <v>4085</v>
      </c>
      <c r="J1503" s="5">
        <v>680</v>
      </c>
    </row>
    <row r="1504" s="2" customFormat="1" spans="1:10">
      <c r="A1504" s="6">
        <f>1502</f>
        <v>1502</v>
      </c>
      <c r="B1504" s="6" t="s">
        <v>4086</v>
      </c>
      <c r="C1504" s="6" t="s">
        <v>12</v>
      </c>
      <c r="D1504" s="6" t="s">
        <v>3574</v>
      </c>
      <c r="E1504" s="6" t="s">
        <v>3970</v>
      </c>
      <c r="F1504" s="6" t="s">
        <v>4087</v>
      </c>
      <c r="G1504" s="6" t="s">
        <v>16</v>
      </c>
      <c r="H1504" s="5">
        <v>2</v>
      </c>
      <c r="I1504" s="6" t="s">
        <v>4088</v>
      </c>
      <c r="J1504" s="5">
        <v>580</v>
      </c>
    </row>
    <row r="1505" s="2" customFormat="1" spans="1:10">
      <c r="A1505" s="6">
        <f>1503</f>
        <v>1503</v>
      </c>
      <c r="B1505" s="6" t="s">
        <v>4089</v>
      </c>
      <c r="C1505" s="6" t="s">
        <v>12</v>
      </c>
      <c r="D1505" s="6" t="s">
        <v>3574</v>
      </c>
      <c r="E1505" s="6" t="s">
        <v>3970</v>
      </c>
      <c r="F1505" s="6" t="s">
        <v>4090</v>
      </c>
      <c r="G1505" s="6" t="s">
        <v>16</v>
      </c>
      <c r="H1505" s="5">
        <v>3</v>
      </c>
      <c r="I1505" s="6" t="s">
        <v>4091</v>
      </c>
      <c r="J1505" s="5">
        <v>630</v>
      </c>
    </row>
    <row r="1506" s="2" customFormat="1" spans="1:10">
      <c r="A1506" s="6">
        <f>1504</f>
        <v>1504</v>
      </c>
      <c r="B1506" s="6" t="s">
        <v>4092</v>
      </c>
      <c r="C1506" s="6" t="s">
        <v>12</v>
      </c>
      <c r="D1506" s="6" t="s">
        <v>3574</v>
      </c>
      <c r="E1506" s="6" t="s">
        <v>3970</v>
      </c>
      <c r="F1506" s="6" t="s">
        <v>4093</v>
      </c>
      <c r="G1506" s="6" t="s">
        <v>16</v>
      </c>
      <c r="H1506" s="5">
        <v>2</v>
      </c>
      <c r="I1506" s="6" t="s">
        <v>4094</v>
      </c>
      <c r="J1506" s="5">
        <v>576</v>
      </c>
    </row>
    <row r="1507" s="2" customFormat="1" spans="1:10">
      <c r="A1507" s="6">
        <f>1505</f>
        <v>1505</v>
      </c>
      <c r="B1507" s="6" t="s">
        <v>4095</v>
      </c>
      <c r="C1507" s="6" t="s">
        <v>12</v>
      </c>
      <c r="D1507" s="6" t="s">
        <v>3574</v>
      </c>
      <c r="E1507" s="6" t="s">
        <v>3970</v>
      </c>
      <c r="F1507" s="6" t="s">
        <v>4096</v>
      </c>
      <c r="G1507" s="6" t="s">
        <v>16</v>
      </c>
      <c r="H1507" s="5">
        <v>2</v>
      </c>
      <c r="I1507" s="6" t="s">
        <v>4097</v>
      </c>
      <c r="J1507" s="5">
        <v>492</v>
      </c>
    </row>
    <row r="1508" s="2" customFormat="1" spans="1:10">
      <c r="A1508" s="6">
        <f>1506</f>
        <v>1506</v>
      </c>
      <c r="B1508" s="6" t="s">
        <v>4098</v>
      </c>
      <c r="C1508" s="6" t="s">
        <v>12</v>
      </c>
      <c r="D1508" s="6" t="s">
        <v>3574</v>
      </c>
      <c r="E1508" s="6" t="s">
        <v>3970</v>
      </c>
      <c r="F1508" s="6" t="s">
        <v>4099</v>
      </c>
      <c r="G1508" s="6" t="s">
        <v>16</v>
      </c>
      <c r="H1508" s="5">
        <v>2</v>
      </c>
      <c r="I1508" s="6" t="s">
        <v>4100</v>
      </c>
      <c r="J1508" s="5">
        <v>638</v>
      </c>
    </row>
    <row r="1509" s="2" customFormat="1" spans="1:10">
      <c r="A1509" s="6">
        <f>1507</f>
        <v>1507</v>
      </c>
      <c r="B1509" s="6" t="s">
        <v>4101</v>
      </c>
      <c r="C1509" s="6" t="s">
        <v>12</v>
      </c>
      <c r="D1509" s="6" t="s">
        <v>3574</v>
      </c>
      <c r="E1509" s="6" t="s">
        <v>3970</v>
      </c>
      <c r="F1509" s="6" t="s">
        <v>4102</v>
      </c>
      <c r="G1509" s="6" t="s">
        <v>16</v>
      </c>
      <c r="H1509" s="5">
        <v>1</v>
      </c>
      <c r="I1509" s="6" t="s">
        <v>4102</v>
      </c>
      <c r="J1509" s="5">
        <v>300</v>
      </c>
    </row>
    <row r="1510" s="2" customFormat="1" spans="1:10">
      <c r="A1510" s="6">
        <f>1508</f>
        <v>1508</v>
      </c>
      <c r="B1510" s="6" t="s">
        <v>4103</v>
      </c>
      <c r="C1510" s="6" t="s">
        <v>12</v>
      </c>
      <c r="D1510" s="6" t="s">
        <v>3574</v>
      </c>
      <c r="E1510" s="6" t="s">
        <v>3970</v>
      </c>
      <c r="F1510" s="6" t="s">
        <v>4104</v>
      </c>
      <c r="G1510" s="6" t="s">
        <v>16</v>
      </c>
      <c r="H1510" s="5">
        <v>3</v>
      </c>
      <c r="I1510" s="6" t="s">
        <v>4105</v>
      </c>
      <c r="J1510" s="5">
        <v>680</v>
      </c>
    </row>
    <row r="1511" s="2" customFormat="1" spans="1:10">
      <c r="A1511" s="6">
        <f>1509</f>
        <v>1509</v>
      </c>
      <c r="B1511" s="6" t="s">
        <v>4106</v>
      </c>
      <c r="C1511" s="6" t="s">
        <v>12</v>
      </c>
      <c r="D1511" s="6" t="s">
        <v>3574</v>
      </c>
      <c r="E1511" s="6" t="s">
        <v>3970</v>
      </c>
      <c r="F1511" s="6" t="s">
        <v>4107</v>
      </c>
      <c r="G1511" s="6" t="s">
        <v>16</v>
      </c>
      <c r="H1511" s="5">
        <v>1</v>
      </c>
      <c r="I1511" s="6" t="s">
        <v>4107</v>
      </c>
      <c r="J1511" s="5">
        <v>320</v>
      </c>
    </row>
    <row r="1512" s="2" customFormat="1" spans="1:10">
      <c r="A1512" s="6">
        <f>1510</f>
        <v>1510</v>
      </c>
      <c r="B1512" s="6" t="s">
        <v>4108</v>
      </c>
      <c r="C1512" s="6" t="s">
        <v>12</v>
      </c>
      <c r="D1512" s="6" t="s">
        <v>3574</v>
      </c>
      <c r="E1512" s="6" t="s">
        <v>3970</v>
      </c>
      <c r="F1512" s="6" t="s">
        <v>4109</v>
      </c>
      <c r="G1512" s="6" t="s">
        <v>16</v>
      </c>
      <c r="H1512" s="5">
        <v>1</v>
      </c>
      <c r="I1512" s="6" t="s">
        <v>4109</v>
      </c>
      <c r="J1512" s="5">
        <v>360</v>
      </c>
    </row>
    <row r="1513" s="2" customFormat="1" spans="1:10">
      <c r="A1513" s="6">
        <f>1511</f>
        <v>1511</v>
      </c>
      <c r="B1513" s="6" t="s">
        <v>4110</v>
      </c>
      <c r="C1513" s="6" t="s">
        <v>12</v>
      </c>
      <c r="D1513" s="6" t="s">
        <v>3574</v>
      </c>
      <c r="E1513" s="6" t="s">
        <v>3970</v>
      </c>
      <c r="F1513" s="6" t="s">
        <v>4111</v>
      </c>
      <c r="G1513" s="6" t="s">
        <v>16</v>
      </c>
      <c r="H1513" s="5">
        <v>2</v>
      </c>
      <c r="I1513" s="6" t="s">
        <v>4112</v>
      </c>
      <c r="J1513" s="5">
        <v>646</v>
      </c>
    </row>
    <row r="1514" s="2" customFormat="1" spans="1:10">
      <c r="A1514" s="6">
        <f>1512</f>
        <v>1512</v>
      </c>
      <c r="B1514" s="6" t="s">
        <v>4113</v>
      </c>
      <c r="C1514" s="6" t="s">
        <v>12</v>
      </c>
      <c r="D1514" s="6" t="s">
        <v>3574</v>
      </c>
      <c r="E1514" s="6" t="s">
        <v>3970</v>
      </c>
      <c r="F1514" s="6" t="s">
        <v>4114</v>
      </c>
      <c r="G1514" s="6" t="s">
        <v>16</v>
      </c>
      <c r="H1514" s="5">
        <v>2</v>
      </c>
      <c r="I1514" s="6" t="s">
        <v>4115</v>
      </c>
      <c r="J1514" s="5">
        <v>665</v>
      </c>
    </row>
    <row r="1515" s="2" customFormat="1" spans="1:10">
      <c r="A1515" s="6">
        <f>1513</f>
        <v>1513</v>
      </c>
      <c r="B1515" s="6" t="s">
        <v>4116</v>
      </c>
      <c r="C1515" s="6" t="s">
        <v>12</v>
      </c>
      <c r="D1515" s="6" t="s">
        <v>3574</v>
      </c>
      <c r="E1515" s="6" t="s">
        <v>3970</v>
      </c>
      <c r="F1515" s="6" t="s">
        <v>3848</v>
      </c>
      <c r="G1515" s="6" t="s">
        <v>16</v>
      </c>
      <c r="H1515" s="5">
        <v>2</v>
      </c>
      <c r="I1515" s="6" t="s">
        <v>4117</v>
      </c>
      <c r="J1515" s="5">
        <v>720</v>
      </c>
    </row>
    <row r="1516" s="2" customFormat="1" spans="1:10">
      <c r="A1516" s="6">
        <f>1514</f>
        <v>1514</v>
      </c>
      <c r="B1516" s="6" t="s">
        <v>4118</v>
      </c>
      <c r="C1516" s="6" t="s">
        <v>12</v>
      </c>
      <c r="D1516" s="6" t="s">
        <v>3574</v>
      </c>
      <c r="E1516" s="6" t="s">
        <v>3970</v>
      </c>
      <c r="F1516" s="6" t="s">
        <v>4119</v>
      </c>
      <c r="G1516" s="6" t="s">
        <v>16</v>
      </c>
      <c r="H1516" s="5">
        <v>2</v>
      </c>
      <c r="I1516" s="6" t="s">
        <v>4120</v>
      </c>
      <c r="J1516" s="5">
        <v>570</v>
      </c>
    </row>
    <row r="1517" s="2" customFormat="1" spans="1:10">
      <c r="A1517" s="6">
        <f>1515</f>
        <v>1515</v>
      </c>
      <c r="B1517" s="6" t="s">
        <v>4121</v>
      </c>
      <c r="C1517" s="6" t="s">
        <v>12</v>
      </c>
      <c r="D1517" s="6" t="s">
        <v>3574</v>
      </c>
      <c r="E1517" s="6" t="s">
        <v>3970</v>
      </c>
      <c r="F1517" s="6" t="s">
        <v>4122</v>
      </c>
      <c r="G1517" s="6" t="s">
        <v>16</v>
      </c>
      <c r="H1517" s="5">
        <v>1</v>
      </c>
      <c r="I1517" s="6" t="s">
        <v>4122</v>
      </c>
      <c r="J1517" s="5">
        <v>390</v>
      </c>
    </row>
    <row r="1518" s="2" customFormat="1" spans="1:10">
      <c r="A1518" s="6">
        <f>1516</f>
        <v>1516</v>
      </c>
      <c r="B1518" s="6" t="s">
        <v>4123</v>
      </c>
      <c r="C1518" s="6" t="s">
        <v>12</v>
      </c>
      <c r="D1518" s="6" t="s">
        <v>3574</v>
      </c>
      <c r="E1518" s="6" t="s">
        <v>3970</v>
      </c>
      <c r="F1518" s="6" t="s">
        <v>4124</v>
      </c>
      <c r="G1518" s="6" t="s">
        <v>16</v>
      </c>
      <c r="H1518" s="5">
        <v>1</v>
      </c>
      <c r="I1518" s="6" t="s">
        <v>4124</v>
      </c>
      <c r="J1518" s="5">
        <v>290</v>
      </c>
    </row>
    <row r="1519" s="2" customFormat="1" spans="1:10">
      <c r="A1519" s="6">
        <f>1517</f>
        <v>1517</v>
      </c>
      <c r="B1519" s="6" t="s">
        <v>4125</v>
      </c>
      <c r="C1519" s="6" t="s">
        <v>12</v>
      </c>
      <c r="D1519" s="6" t="s">
        <v>3574</v>
      </c>
      <c r="E1519" s="6" t="s">
        <v>4126</v>
      </c>
      <c r="F1519" s="6" t="s">
        <v>4127</v>
      </c>
      <c r="G1519" s="6" t="s">
        <v>16</v>
      </c>
      <c r="H1519" s="5">
        <v>1</v>
      </c>
      <c r="I1519" s="6" t="s">
        <v>4127</v>
      </c>
      <c r="J1519" s="5">
        <v>500</v>
      </c>
    </row>
    <row r="1520" s="2" customFormat="1" spans="1:10">
      <c r="A1520" s="6">
        <f>1518</f>
        <v>1518</v>
      </c>
      <c r="B1520" s="6" t="s">
        <v>4128</v>
      </c>
      <c r="C1520" s="6" t="s">
        <v>12</v>
      </c>
      <c r="D1520" s="6" t="s">
        <v>3574</v>
      </c>
      <c r="E1520" s="6" t="s">
        <v>4126</v>
      </c>
      <c r="F1520" s="6" t="s">
        <v>4129</v>
      </c>
      <c r="G1520" s="6" t="s">
        <v>16</v>
      </c>
      <c r="H1520" s="5">
        <v>2</v>
      </c>
      <c r="I1520" s="6" t="s">
        <v>4130</v>
      </c>
      <c r="J1520" s="5">
        <v>820</v>
      </c>
    </row>
    <row r="1521" s="2" customFormat="1" spans="1:10">
      <c r="A1521" s="6">
        <f>1519</f>
        <v>1519</v>
      </c>
      <c r="B1521" s="6" t="s">
        <v>4131</v>
      </c>
      <c r="C1521" s="6" t="s">
        <v>12</v>
      </c>
      <c r="D1521" s="6" t="s">
        <v>3574</v>
      </c>
      <c r="E1521" s="6" t="s">
        <v>4126</v>
      </c>
      <c r="F1521" s="6" t="s">
        <v>4132</v>
      </c>
      <c r="G1521" s="6" t="s">
        <v>16</v>
      </c>
      <c r="H1521" s="5">
        <v>1</v>
      </c>
      <c r="I1521" s="6" t="s">
        <v>4132</v>
      </c>
      <c r="J1521" s="5">
        <v>600</v>
      </c>
    </row>
    <row r="1522" s="2" customFormat="1" spans="1:10">
      <c r="A1522" s="6">
        <f>1520</f>
        <v>1520</v>
      </c>
      <c r="B1522" s="6" t="s">
        <v>4133</v>
      </c>
      <c r="C1522" s="6" t="s">
        <v>12</v>
      </c>
      <c r="D1522" s="6" t="s">
        <v>3574</v>
      </c>
      <c r="E1522" s="6" t="s">
        <v>4126</v>
      </c>
      <c r="F1522" s="6" t="s">
        <v>4134</v>
      </c>
      <c r="G1522" s="6" t="s">
        <v>16</v>
      </c>
      <c r="H1522" s="5">
        <v>1</v>
      </c>
      <c r="I1522" s="6" t="s">
        <v>4134</v>
      </c>
      <c r="J1522" s="5">
        <v>500</v>
      </c>
    </row>
    <row r="1523" s="2" customFormat="1" spans="1:10">
      <c r="A1523" s="6">
        <f>1521</f>
        <v>1521</v>
      </c>
      <c r="B1523" s="6" t="s">
        <v>4135</v>
      </c>
      <c r="C1523" s="6" t="s">
        <v>12</v>
      </c>
      <c r="D1523" s="6" t="s">
        <v>3574</v>
      </c>
      <c r="E1523" s="6" t="s">
        <v>4126</v>
      </c>
      <c r="F1523" s="6" t="s">
        <v>4136</v>
      </c>
      <c r="G1523" s="6" t="s">
        <v>16</v>
      </c>
      <c r="H1523" s="5">
        <v>3</v>
      </c>
      <c r="I1523" s="6" t="s">
        <v>4137</v>
      </c>
      <c r="J1523" s="5">
        <v>795</v>
      </c>
    </row>
    <row r="1524" s="2" customFormat="1" spans="1:10">
      <c r="A1524" s="6">
        <f>1522</f>
        <v>1522</v>
      </c>
      <c r="B1524" s="6" t="s">
        <v>4138</v>
      </c>
      <c r="C1524" s="6" t="s">
        <v>12</v>
      </c>
      <c r="D1524" s="6" t="s">
        <v>3574</v>
      </c>
      <c r="E1524" s="6" t="s">
        <v>4126</v>
      </c>
      <c r="F1524" s="6" t="s">
        <v>4139</v>
      </c>
      <c r="G1524" s="6" t="s">
        <v>16</v>
      </c>
      <c r="H1524" s="5">
        <v>1</v>
      </c>
      <c r="I1524" s="6" t="s">
        <v>4139</v>
      </c>
      <c r="J1524" s="5">
        <v>590</v>
      </c>
    </row>
    <row r="1525" s="2" customFormat="1" spans="1:10">
      <c r="A1525" s="6">
        <f>1523</f>
        <v>1523</v>
      </c>
      <c r="B1525" s="6" t="s">
        <v>4140</v>
      </c>
      <c r="C1525" s="6" t="s">
        <v>12</v>
      </c>
      <c r="D1525" s="6" t="s">
        <v>3574</v>
      </c>
      <c r="E1525" s="6" t="s">
        <v>4126</v>
      </c>
      <c r="F1525" s="6" t="s">
        <v>4141</v>
      </c>
      <c r="G1525" s="6" t="s">
        <v>16</v>
      </c>
      <c r="H1525" s="5">
        <v>1</v>
      </c>
      <c r="I1525" s="6" t="s">
        <v>4141</v>
      </c>
      <c r="J1525" s="5">
        <v>290</v>
      </c>
    </row>
    <row r="1526" s="2" customFormat="1" ht="27" spans="1:10">
      <c r="A1526" s="6">
        <f>1524</f>
        <v>1524</v>
      </c>
      <c r="B1526" s="6" t="s">
        <v>4142</v>
      </c>
      <c r="C1526" s="6" t="s">
        <v>12</v>
      </c>
      <c r="D1526" s="6" t="s">
        <v>3574</v>
      </c>
      <c r="E1526" s="6" t="s">
        <v>4126</v>
      </c>
      <c r="F1526" s="6" t="s">
        <v>4143</v>
      </c>
      <c r="G1526" s="6" t="s">
        <v>16</v>
      </c>
      <c r="H1526" s="5">
        <v>6</v>
      </c>
      <c r="I1526" s="6" t="s">
        <v>4144</v>
      </c>
      <c r="J1526" s="5">
        <v>1200</v>
      </c>
    </row>
    <row r="1527" s="2" customFormat="1" spans="1:10">
      <c r="A1527" s="6">
        <f>1525</f>
        <v>1525</v>
      </c>
      <c r="B1527" s="6" t="s">
        <v>4145</v>
      </c>
      <c r="C1527" s="6" t="s">
        <v>12</v>
      </c>
      <c r="D1527" s="6" t="s">
        <v>3574</v>
      </c>
      <c r="E1527" s="6" t="s">
        <v>4126</v>
      </c>
      <c r="F1527" s="6" t="s">
        <v>4146</v>
      </c>
      <c r="G1527" s="6" t="s">
        <v>16</v>
      </c>
      <c r="H1527" s="5">
        <v>3</v>
      </c>
      <c r="I1527" s="6" t="s">
        <v>4147</v>
      </c>
      <c r="J1527" s="5">
        <v>636</v>
      </c>
    </row>
    <row r="1528" s="2" customFormat="1" spans="1:10">
      <c r="A1528" s="6">
        <f>1526</f>
        <v>1526</v>
      </c>
      <c r="B1528" s="6" t="s">
        <v>4148</v>
      </c>
      <c r="C1528" s="6" t="s">
        <v>12</v>
      </c>
      <c r="D1528" s="6" t="s">
        <v>3574</v>
      </c>
      <c r="E1528" s="6" t="s">
        <v>4126</v>
      </c>
      <c r="F1528" s="6" t="s">
        <v>4149</v>
      </c>
      <c r="G1528" s="6" t="s">
        <v>16</v>
      </c>
      <c r="H1528" s="5">
        <v>3</v>
      </c>
      <c r="I1528" s="6" t="s">
        <v>4150</v>
      </c>
      <c r="J1528" s="5">
        <v>640</v>
      </c>
    </row>
    <row r="1529" s="2" customFormat="1" spans="1:10">
      <c r="A1529" s="6">
        <f>1527</f>
        <v>1527</v>
      </c>
      <c r="B1529" s="6" t="s">
        <v>4151</v>
      </c>
      <c r="C1529" s="6" t="s">
        <v>12</v>
      </c>
      <c r="D1529" s="6" t="s">
        <v>3574</v>
      </c>
      <c r="E1529" s="6" t="s">
        <v>4126</v>
      </c>
      <c r="F1529" s="6" t="s">
        <v>4152</v>
      </c>
      <c r="G1529" s="6" t="s">
        <v>16</v>
      </c>
      <c r="H1529" s="5">
        <v>2</v>
      </c>
      <c r="I1529" s="6" t="s">
        <v>4153</v>
      </c>
      <c r="J1529" s="5">
        <v>596</v>
      </c>
    </row>
    <row r="1530" s="2" customFormat="1" spans="1:10">
      <c r="A1530" s="6">
        <f>1528</f>
        <v>1528</v>
      </c>
      <c r="B1530" s="6" t="s">
        <v>4154</v>
      </c>
      <c r="C1530" s="6" t="s">
        <v>12</v>
      </c>
      <c r="D1530" s="6" t="s">
        <v>3574</v>
      </c>
      <c r="E1530" s="6" t="s">
        <v>4126</v>
      </c>
      <c r="F1530" s="6" t="s">
        <v>4155</v>
      </c>
      <c r="G1530" s="6" t="s">
        <v>16</v>
      </c>
      <c r="H1530" s="5">
        <v>1</v>
      </c>
      <c r="I1530" s="6" t="s">
        <v>4155</v>
      </c>
      <c r="J1530" s="5">
        <v>310</v>
      </c>
    </row>
    <row r="1531" s="2" customFormat="1" spans="1:10">
      <c r="A1531" s="6">
        <f>1529</f>
        <v>1529</v>
      </c>
      <c r="B1531" s="6" t="s">
        <v>4156</v>
      </c>
      <c r="C1531" s="6" t="s">
        <v>12</v>
      </c>
      <c r="D1531" s="6" t="s">
        <v>3574</v>
      </c>
      <c r="E1531" s="6" t="s">
        <v>4126</v>
      </c>
      <c r="F1531" s="6" t="s">
        <v>4157</v>
      </c>
      <c r="G1531" s="6" t="s">
        <v>16</v>
      </c>
      <c r="H1531" s="5">
        <v>2</v>
      </c>
      <c r="I1531" s="6" t="s">
        <v>4158</v>
      </c>
      <c r="J1531" s="5">
        <v>400</v>
      </c>
    </row>
    <row r="1532" s="2" customFormat="1" spans="1:10">
      <c r="A1532" s="6">
        <f>1530</f>
        <v>1530</v>
      </c>
      <c r="B1532" s="6" t="s">
        <v>4159</v>
      </c>
      <c r="C1532" s="6" t="s">
        <v>12</v>
      </c>
      <c r="D1532" s="6" t="s">
        <v>3574</v>
      </c>
      <c r="E1532" s="6" t="s">
        <v>4126</v>
      </c>
      <c r="F1532" s="6" t="s">
        <v>4160</v>
      </c>
      <c r="G1532" s="6" t="s">
        <v>16</v>
      </c>
      <c r="H1532" s="5">
        <v>1</v>
      </c>
      <c r="I1532" s="6" t="s">
        <v>4160</v>
      </c>
      <c r="J1532" s="5">
        <v>248</v>
      </c>
    </row>
    <row r="1533" s="2" customFormat="1" spans="1:10">
      <c r="A1533" s="6">
        <f>1531</f>
        <v>1531</v>
      </c>
      <c r="B1533" s="6" t="s">
        <v>4161</v>
      </c>
      <c r="C1533" s="6" t="s">
        <v>12</v>
      </c>
      <c r="D1533" s="6" t="s">
        <v>3574</v>
      </c>
      <c r="E1533" s="6" t="s">
        <v>4126</v>
      </c>
      <c r="F1533" s="6" t="s">
        <v>4162</v>
      </c>
      <c r="G1533" s="6" t="s">
        <v>16</v>
      </c>
      <c r="H1533" s="5">
        <v>1</v>
      </c>
      <c r="I1533" s="6" t="s">
        <v>4162</v>
      </c>
      <c r="J1533" s="5">
        <v>490</v>
      </c>
    </row>
    <row r="1534" s="2" customFormat="1" spans="1:10">
      <c r="A1534" s="6">
        <f>1532</f>
        <v>1532</v>
      </c>
      <c r="B1534" s="6" t="s">
        <v>4163</v>
      </c>
      <c r="C1534" s="6" t="s">
        <v>12</v>
      </c>
      <c r="D1534" s="6" t="s">
        <v>3574</v>
      </c>
      <c r="E1534" s="6" t="s">
        <v>4126</v>
      </c>
      <c r="F1534" s="6" t="s">
        <v>4164</v>
      </c>
      <c r="G1534" s="6" t="s">
        <v>16</v>
      </c>
      <c r="H1534" s="5">
        <v>1</v>
      </c>
      <c r="I1534" s="6" t="s">
        <v>4164</v>
      </c>
      <c r="J1534" s="5">
        <v>395</v>
      </c>
    </row>
    <row r="1535" s="2" customFormat="1" spans="1:10">
      <c r="A1535" s="6">
        <f>1533</f>
        <v>1533</v>
      </c>
      <c r="B1535" s="6" t="s">
        <v>4165</v>
      </c>
      <c r="C1535" s="6" t="s">
        <v>12</v>
      </c>
      <c r="D1535" s="6" t="s">
        <v>3574</v>
      </c>
      <c r="E1535" s="6" t="s">
        <v>4126</v>
      </c>
      <c r="F1535" s="6" t="s">
        <v>4166</v>
      </c>
      <c r="G1535" s="6" t="s">
        <v>16</v>
      </c>
      <c r="H1535" s="5">
        <v>1</v>
      </c>
      <c r="I1535" s="6" t="s">
        <v>4166</v>
      </c>
      <c r="J1535" s="5">
        <v>281</v>
      </c>
    </row>
    <row r="1536" s="2" customFormat="1" ht="27" spans="1:10">
      <c r="A1536" s="6">
        <f>1534</f>
        <v>1534</v>
      </c>
      <c r="B1536" s="6" t="s">
        <v>4167</v>
      </c>
      <c r="C1536" s="6" t="s">
        <v>12</v>
      </c>
      <c r="D1536" s="6" t="s">
        <v>3574</v>
      </c>
      <c r="E1536" s="6" t="s">
        <v>4126</v>
      </c>
      <c r="F1536" s="6" t="s">
        <v>4168</v>
      </c>
      <c r="G1536" s="6" t="s">
        <v>16</v>
      </c>
      <c r="H1536" s="5">
        <v>5</v>
      </c>
      <c r="I1536" s="6" t="s">
        <v>4169</v>
      </c>
      <c r="J1536" s="5">
        <v>1260</v>
      </c>
    </row>
    <row r="1537" s="2" customFormat="1" spans="1:10">
      <c r="A1537" s="6">
        <f>1535</f>
        <v>1535</v>
      </c>
      <c r="B1537" s="6" t="s">
        <v>4170</v>
      </c>
      <c r="C1537" s="6" t="s">
        <v>12</v>
      </c>
      <c r="D1537" s="6" t="s">
        <v>3574</v>
      </c>
      <c r="E1537" s="6" t="s">
        <v>4126</v>
      </c>
      <c r="F1537" s="6" t="s">
        <v>4171</v>
      </c>
      <c r="G1537" s="6" t="s">
        <v>16</v>
      </c>
      <c r="H1537" s="5">
        <v>3</v>
      </c>
      <c r="I1537" s="6" t="s">
        <v>4172</v>
      </c>
      <c r="J1537" s="5">
        <v>844</v>
      </c>
    </row>
    <row r="1538" s="2" customFormat="1" spans="1:10">
      <c r="A1538" s="6">
        <f>1536</f>
        <v>1536</v>
      </c>
      <c r="B1538" s="6" t="s">
        <v>4173</v>
      </c>
      <c r="C1538" s="6" t="s">
        <v>12</v>
      </c>
      <c r="D1538" s="6" t="s">
        <v>3574</v>
      </c>
      <c r="E1538" s="6" t="s">
        <v>4126</v>
      </c>
      <c r="F1538" s="6" t="s">
        <v>4174</v>
      </c>
      <c r="G1538" s="6" t="s">
        <v>16</v>
      </c>
      <c r="H1538" s="5">
        <v>1</v>
      </c>
      <c r="I1538" s="6" t="s">
        <v>4174</v>
      </c>
      <c r="J1538" s="5">
        <v>423</v>
      </c>
    </row>
    <row r="1539" s="2" customFormat="1" spans="1:10">
      <c r="A1539" s="6">
        <f>1537</f>
        <v>1537</v>
      </c>
      <c r="B1539" s="6" t="s">
        <v>4175</v>
      </c>
      <c r="C1539" s="6" t="s">
        <v>12</v>
      </c>
      <c r="D1539" s="6" t="s">
        <v>3574</v>
      </c>
      <c r="E1539" s="6" t="s">
        <v>4126</v>
      </c>
      <c r="F1539" s="6" t="s">
        <v>4176</v>
      </c>
      <c r="G1539" s="6" t="s">
        <v>16</v>
      </c>
      <c r="H1539" s="5">
        <v>1</v>
      </c>
      <c r="I1539" s="6" t="s">
        <v>4176</v>
      </c>
      <c r="J1539" s="5">
        <v>292</v>
      </c>
    </row>
    <row r="1540" s="2" customFormat="1" spans="1:10">
      <c r="A1540" s="6">
        <f>1538</f>
        <v>1538</v>
      </c>
      <c r="B1540" s="6" t="s">
        <v>4177</v>
      </c>
      <c r="C1540" s="6" t="s">
        <v>12</v>
      </c>
      <c r="D1540" s="6" t="s">
        <v>3574</v>
      </c>
      <c r="E1540" s="6" t="s">
        <v>4126</v>
      </c>
      <c r="F1540" s="6" t="s">
        <v>4178</v>
      </c>
      <c r="G1540" s="6" t="s">
        <v>16</v>
      </c>
      <c r="H1540" s="5">
        <v>3</v>
      </c>
      <c r="I1540" s="6" t="s">
        <v>4179</v>
      </c>
      <c r="J1540" s="5">
        <v>672</v>
      </c>
    </row>
    <row r="1541" s="2" customFormat="1" spans="1:10">
      <c r="A1541" s="6">
        <f>1539</f>
        <v>1539</v>
      </c>
      <c r="B1541" s="6" t="s">
        <v>4180</v>
      </c>
      <c r="C1541" s="6" t="s">
        <v>12</v>
      </c>
      <c r="D1541" s="6" t="s">
        <v>3574</v>
      </c>
      <c r="E1541" s="6" t="s">
        <v>4126</v>
      </c>
      <c r="F1541" s="6" t="s">
        <v>4181</v>
      </c>
      <c r="G1541" s="6" t="s">
        <v>16</v>
      </c>
      <c r="H1541" s="5">
        <v>1</v>
      </c>
      <c r="I1541" s="6" t="s">
        <v>4181</v>
      </c>
      <c r="J1541" s="5">
        <v>340</v>
      </c>
    </row>
    <row r="1542" s="2" customFormat="1" spans="1:10">
      <c r="A1542" s="6">
        <f>1540</f>
        <v>1540</v>
      </c>
      <c r="B1542" s="6" t="s">
        <v>4182</v>
      </c>
      <c r="C1542" s="6" t="s">
        <v>12</v>
      </c>
      <c r="D1542" s="6" t="s">
        <v>3574</v>
      </c>
      <c r="E1542" s="6" t="s">
        <v>4126</v>
      </c>
      <c r="F1542" s="6" t="s">
        <v>4183</v>
      </c>
      <c r="G1542" s="6" t="s">
        <v>16</v>
      </c>
      <c r="H1542" s="5">
        <v>3</v>
      </c>
      <c r="I1542" s="6" t="s">
        <v>4184</v>
      </c>
      <c r="J1542" s="5">
        <v>1020</v>
      </c>
    </row>
    <row r="1543" s="2" customFormat="1" ht="27" spans="1:10">
      <c r="A1543" s="6">
        <f>1541</f>
        <v>1541</v>
      </c>
      <c r="B1543" s="6" t="s">
        <v>4185</v>
      </c>
      <c r="C1543" s="6" t="s">
        <v>12</v>
      </c>
      <c r="D1543" s="6" t="s">
        <v>3574</v>
      </c>
      <c r="E1543" s="6" t="s">
        <v>4126</v>
      </c>
      <c r="F1543" s="6" t="s">
        <v>4186</v>
      </c>
      <c r="G1543" s="6" t="s">
        <v>16</v>
      </c>
      <c r="H1543" s="5">
        <v>4</v>
      </c>
      <c r="I1543" s="6" t="s">
        <v>4187</v>
      </c>
      <c r="J1543" s="5">
        <v>660</v>
      </c>
    </row>
    <row r="1544" s="2" customFormat="1" spans="1:10">
      <c r="A1544" s="6">
        <f>1542</f>
        <v>1542</v>
      </c>
      <c r="B1544" s="6" t="s">
        <v>4188</v>
      </c>
      <c r="C1544" s="6" t="s">
        <v>12</v>
      </c>
      <c r="D1544" s="6" t="s">
        <v>3574</v>
      </c>
      <c r="E1544" s="6" t="s">
        <v>4126</v>
      </c>
      <c r="F1544" s="6" t="s">
        <v>4189</v>
      </c>
      <c r="G1544" s="6" t="s">
        <v>16</v>
      </c>
      <c r="H1544" s="5">
        <v>2</v>
      </c>
      <c r="I1544" s="6" t="s">
        <v>4190</v>
      </c>
      <c r="J1544" s="5">
        <v>780</v>
      </c>
    </row>
    <row r="1545" s="2" customFormat="1" spans="1:10">
      <c r="A1545" s="6">
        <f>1543</f>
        <v>1543</v>
      </c>
      <c r="B1545" s="6" t="s">
        <v>4191</v>
      </c>
      <c r="C1545" s="6" t="s">
        <v>12</v>
      </c>
      <c r="D1545" s="6" t="s">
        <v>3574</v>
      </c>
      <c r="E1545" s="6" t="s">
        <v>4126</v>
      </c>
      <c r="F1545" s="6" t="s">
        <v>4192</v>
      </c>
      <c r="G1545" s="6" t="s">
        <v>16</v>
      </c>
      <c r="H1545" s="5">
        <v>2</v>
      </c>
      <c r="I1545" s="6" t="s">
        <v>4193</v>
      </c>
      <c r="J1545" s="5">
        <v>490</v>
      </c>
    </row>
    <row r="1546" s="2" customFormat="1" spans="1:10">
      <c r="A1546" s="6">
        <f>1544</f>
        <v>1544</v>
      </c>
      <c r="B1546" s="6" t="s">
        <v>4194</v>
      </c>
      <c r="C1546" s="6" t="s">
        <v>12</v>
      </c>
      <c r="D1546" s="6" t="s">
        <v>3574</v>
      </c>
      <c r="E1546" s="6" t="s">
        <v>4126</v>
      </c>
      <c r="F1546" s="6" t="s">
        <v>4195</v>
      </c>
      <c r="G1546" s="6" t="s">
        <v>16</v>
      </c>
      <c r="H1546" s="5">
        <v>1</v>
      </c>
      <c r="I1546" s="6" t="s">
        <v>4195</v>
      </c>
      <c r="J1546" s="5">
        <v>600</v>
      </c>
    </row>
    <row r="1547" s="2" customFormat="1" spans="1:10">
      <c r="A1547" s="6">
        <f>1545</f>
        <v>1545</v>
      </c>
      <c r="B1547" s="6" t="s">
        <v>4196</v>
      </c>
      <c r="C1547" s="6" t="s">
        <v>12</v>
      </c>
      <c r="D1547" s="6" t="s">
        <v>3574</v>
      </c>
      <c r="E1547" s="6" t="s">
        <v>4126</v>
      </c>
      <c r="F1547" s="6" t="s">
        <v>4197</v>
      </c>
      <c r="G1547" s="6" t="s">
        <v>16</v>
      </c>
      <c r="H1547" s="5">
        <v>1</v>
      </c>
      <c r="I1547" s="6" t="s">
        <v>4197</v>
      </c>
      <c r="J1547" s="5">
        <v>280</v>
      </c>
    </row>
    <row r="1548" s="2" customFormat="1" spans="1:10">
      <c r="A1548" s="6">
        <f>1546</f>
        <v>1546</v>
      </c>
      <c r="B1548" s="6" t="s">
        <v>4198</v>
      </c>
      <c r="C1548" s="6" t="s">
        <v>12</v>
      </c>
      <c r="D1548" s="6" t="s">
        <v>3574</v>
      </c>
      <c r="E1548" s="6" t="s">
        <v>4126</v>
      </c>
      <c r="F1548" s="6" t="s">
        <v>4199</v>
      </c>
      <c r="G1548" s="6" t="s">
        <v>16</v>
      </c>
      <c r="H1548" s="5">
        <v>3</v>
      </c>
      <c r="I1548" s="6" t="s">
        <v>4200</v>
      </c>
      <c r="J1548" s="5">
        <v>1140</v>
      </c>
    </row>
    <row r="1549" s="2" customFormat="1" ht="27" spans="1:10">
      <c r="A1549" s="6">
        <f>1547</f>
        <v>1547</v>
      </c>
      <c r="B1549" s="6" t="s">
        <v>4201</v>
      </c>
      <c r="C1549" s="6" t="s">
        <v>12</v>
      </c>
      <c r="D1549" s="6" t="s">
        <v>3574</v>
      </c>
      <c r="E1549" s="6" t="s">
        <v>4126</v>
      </c>
      <c r="F1549" s="6" t="s">
        <v>4202</v>
      </c>
      <c r="G1549" s="6" t="s">
        <v>16</v>
      </c>
      <c r="H1549" s="5">
        <v>4</v>
      </c>
      <c r="I1549" s="6" t="s">
        <v>4203</v>
      </c>
      <c r="J1549" s="5">
        <v>680</v>
      </c>
    </row>
    <row r="1550" s="2" customFormat="1" spans="1:10">
      <c r="A1550" s="6">
        <f>1548</f>
        <v>1548</v>
      </c>
      <c r="B1550" s="6" t="s">
        <v>4204</v>
      </c>
      <c r="C1550" s="6" t="s">
        <v>12</v>
      </c>
      <c r="D1550" s="6" t="s">
        <v>3574</v>
      </c>
      <c r="E1550" s="6" t="s">
        <v>4126</v>
      </c>
      <c r="F1550" s="6" t="s">
        <v>4205</v>
      </c>
      <c r="G1550" s="6" t="s">
        <v>16</v>
      </c>
      <c r="H1550" s="5">
        <v>3</v>
      </c>
      <c r="I1550" s="6" t="s">
        <v>4206</v>
      </c>
      <c r="J1550" s="5">
        <v>1160</v>
      </c>
    </row>
    <row r="1551" s="2" customFormat="1" spans="1:10">
      <c r="A1551" s="6">
        <f>1549</f>
        <v>1549</v>
      </c>
      <c r="B1551" s="6" t="s">
        <v>4207</v>
      </c>
      <c r="C1551" s="6" t="s">
        <v>12</v>
      </c>
      <c r="D1551" s="6" t="s">
        <v>3574</v>
      </c>
      <c r="E1551" s="6" t="s">
        <v>4126</v>
      </c>
      <c r="F1551" s="6" t="s">
        <v>4208</v>
      </c>
      <c r="G1551" s="6" t="s">
        <v>16</v>
      </c>
      <c r="H1551" s="5">
        <v>3</v>
      </c>
      <c r="I1551" s="6" t="s">
        <v>4209</v>
      </c>
      <c r="J1551" s="5">
        <v>870</v>
      </c>
    </row>
    <row r="1552" s="2" customFormat="1" spans="1:10">
      <c r="A1552" s="6">
        <f>1550</f>
        <v>1550</v>
      </c>
      <c r="B1552" s="6" t="s">
        <v>4210</v>
      </c>
      <c r="C1552" s="6" t="s">
        <v>12</v>
      </c>
      <c r="D1552" s="6" t="s">
        <v>3574</v>
      </c>
      <c r="E1552" s="6" t="s">
        <v>4126</v>
      </c>
      <c r="F1552" s="6" t="s">
        <v>4211</v>
      </c>
      <c r="G1552" s="6" t="s">
        <v>16</v>
      </c>
      <c r="H1552" s="5">
        <v>1</v>
      </c>
      <c r="I1552" s="6" t="s">
        <v>4211</v>
      </c>
      <c r="J1552" s="5">
        <v>245</v>
      </c>
    </row>
    <row r="1553" s="2" customFormat="1" spans="1:10">
      <c r="A1553" s="6">
        <f>1551</f>
        <v>1551</v>
      </c>
      <c r="B1553" s="6" t="s">
        <v>4212</v>
      </c>
      <c r="C1553" s="6" t="s">
        <v>12</v>
      </c>
      <c r="D1553" s="6" t="s">
        <v>3574</v>
      </c>
      <c r="E1553" s="6" t="s">
        <v>4126</v>
      </c>
      <c r="F1553" s="6" t="s">
        <v>4213</v>
      </c>
      <c r="G1553" s="6" t="s">
        <v>16</v>
      </c>
      <c r="H1553" s="5">
        <v>1</v>
      </c>
      <c r="I1553" s="6" t="s">
        <v>4213</v>
      </c>
      <c r="J1553" s="5">
        <v>360</v>
      </c>
    </row>
    <row r="1554" s="2" customFormat="1" spans="1:10">
      <c r="A1554" s="6">
        <f>1552</f>
        <v>1552</v>
      </c>
      <c r="B1554" s="6" t="s">
        <v>4214</v>
      </c>
      <c r="C1554" s="6" t="s">
        <v>12</v>
      </c>
      <c r="D1554" s="6" t="s">
        <v>3574</v>
      </c>
      <c r="E1554" s="6" t="s">
        <v>4126</v>
      </c>
      <c r="F1554" s="6" t="s">
        <v>4215</v>
      </c>
      <c r="G1554" s="6" t="s">
        <v>16</v>
      </c>
      <c r="H1554" s="5">
        <v>1</v>
      </c>
      <c r="I1554" s="6" t="s">
        <v>4215</v>
      </c>
      <c r="J1554" s="5">
        <v>347</v>
      </c>
    </row>
    <row r="1555" s="2" customFormat="1" spans="1:10">
      <c r="A1555" s="6">
        <f>1553</f>
        <v>1553</v>
      </c>
      <c r="B1555" s="6" t="s">
        <v>4216</v>
      </c>
      <c r="C1555" s="6" t="s">
        <v>12</v>
      </c>
      <c r="D1555" s="6" t="s">
        <v>3574</v>
      </c>
      <c r="E1555" s="6" t="s">
        <v>4126</v>
      </c>
      <c r="F1555" s="6" t="s">
        <v>4217</v>
      </c>
      <c r="G1555" s="6" t="s">
        <v>16</v>
      </c>
      <c r="H1555" s="5">
        <v>3</v>
      </c>
      <c r="I1555" s="6" t="s">
        <v>4218</v>
      </c>
      <c r="J1555" s="5">
        <v>720</v>
      </c>
    </row>
    <row r="1556" s="2" customFormat="1" spans="1:10">
      <c r="A1556" s="6">
        <f>1554</f>
        <v>1554</v>
      </c>
      <c r="B1556" s="6" t="s">
        <v>4219</v>
      </c>
      <c r="C1556" s="6" t="s">
        <v>12</v>
      </c>
      <c r="D1556" s="6" t="s">
        <v>3574</v>
      </c>
      <c r="E1556" s="6" t="s">
        <v>4126</v>
      </c>
      <c r="F1556" s="6" t="s">
        <v>4220</v>
      </c>
      <c r="G1556" s="6" t="s">
        <v>16</v>
      </c>
      <c r="H1556" s="5">
        <v>1</v>
      </c>
      <c r="I1556" s="6" t="s">
        <v>4220</v>
      </c>
      <c r="J1556" s="5">
        <v>600</v>
      </c>
    </row>
    <row r="1557" s="2" customFormat="1" spans="1:10">
      <c r="A1557" s="6">
        <f>1555</f>
        <v>1555</v>
      </c>
      <c r="B1557" s="6" t="s">
        <v>4221</v>
      </c>
      <c r="C1557" s="6" t="s">
        <v>12</v>
      </c>
      <c r="D1557" s="6" t="s">
        <v>3574</v>
      </c>
      <c r="E1557" s="6" t="s">
        <v>4222</v>
      </c>
      <c r="F1557" s="6" t="s">
        <v>4223</v>
      </c>
      <c r="G1557" s="6" t="s">
        <v>16</v>
      </c>
      <c r="H1557" s="5">
        <v>2</v>
      </c>
      <c r="I1557" s="6" t="s">
        <v>4224</v>
      </c>
      <c r="J1557" s="5">
        <v>660</v>
      </c>
    </row>
    <row r="1558" s="2" customFormat="1" spans="1:10">
      <c r="A1558" s="6">
        <f>1556</f>
        <v>1556</v>
      </c>
      <c r="B1558" s="6" t="s">
        <v>4225</v>
      </c>
      <c r="C1558" s="6" t="s">
        <v>12</v>
      </c>
      <c r="D1558" s="6" t="s">
        <v>3574</v>
      </c>
      <c r="E1558" s="6" t="s">
        <v>4222</v>
      </c>
      <c r="F1558" s="6" t="s">
        <v>4226</v>
      </c>
      <c r="G1558" s="6" t="s">
        <v>16</v>
      </c>
      <c r="H1558" s="5">
        <v>2</v>
      </c>
      <c r="I1558" s="6" t="s">
        <v>4227</v>
      </c>
      <c r="J1558" s="5">
        <v>980</v>
      </c>
    </row>
    <row r="1559" s="2" customFormat="1" spans="1:10">
      <c r="A1559" s="6">
        <f>1557</f>
        <v>1557</v>
      </c>
      <c r="B1559" s="6" t="s">
        <v>4228</v>
      </c>
      <c r="C1559" s="6" t="s">
        <v>12</v>
      </c>
      <c r="D1559" s="6" t="s">
        <v>3574</v>
      </c>
      <c r="E1559" s="6" t="s">
        <v>4222</v>
      </c>
      <c r="F1559" s="6" t="s">
        <v>4229</v>
      </c>
      <c r="G1559" s="6" t="s">
        <v>16</v>
      </c>
      <c r="H1559" s="5">
        <v>3</v>
      </c>
      <c r="I1559" s="6" t="s">
        <v>4230</v>
      </c>
      <c r="J1559" s="5">
        <v>930</v>
      </c>
    </row>
    <row r="1560" s="2" customFormat="1" ht="27" spans="1:10">
      <c r="A1560" s="6">
        <f>1558</f>
        <v>1558</v>
      </c>
      <c r="B1560" s="6" t="s">
        <v>4231</v>
      </c>
      <c r="C1560" s="6" t="s">
        <v>12</v>
      </c>
      <c r="D1560" s="6" t="s">
        <v>3574</v>
      </c>
      <c r="E1560" s="6" t="s">
        <v>4222</v>
      </c>
      <c r="F1560" s="6" t="s">
        <v>4232</v>
      </c>
      <c r="G1560" s="6" t="s">
        <v>16</v>
      </c>
      <c r="H1560" s="5">
        <v>5</v>
      </c>
      <c r="I1560" s="6" t="s">
        <v>4233</v>
      </c>
      <c r="J1560" s="5">
        <v>900</v>
      </c>
    </row>
    <row r="1561" s="2" customFormat="1" spans="1:10">
      <c r="A1561" s="6">
        <f>1559</f>
        <v>1559</v>
      </c>
      <c r="B1561" s="6" t="s">
        <v>4234</v>
      </c>
      <c r="C1561" s="6" t="s">
        <v>12</v>
      </c>
      <c r="D1561" s="6" t="s">
        <v>3574</v>
      </c>
      <c r="E1561" s="6" t="s">
        <v>4222</v>
      </c>
      <c r="F1561" s="6" t="s">
        <v>4235</v>
      </c>
      <c r="G1561" s="6" t="s">
        <v>16</v>
      </c>
      <c r="H1561" s="5">
        <v>1</v>
      </c>
      <c r="I1561" s="6" t="s">
        <v>4235</v>
      </c>
      <c r="J1561" s="5">
        <v>460</v>
      </c>
    </row>
    <row r="1562" s="2" customFormat="1" ht="27" spans="1:10">
      <c r="A1562" s="6">
        <f>1560</f>
        <v>1560</v>
      </c>
      <c r="B1562" s="6" t="s">
        <v>4236</v>
      </c>
      <c r="C1562" s="6" t="s">
        <v>12</v>
      </c>
      <c r="D1562" s="6" t="s">
        <v>3574</v>
      </c>
      <c r="E1562" s="6" t="s">
        <v>4222</v>
      </c>
      <c r="F1562" s="6" t="s">
        <v>4237</v>
      </c>
      <c r="G1562" s="6" t="s">
        <v>16</v>
      </c>
      <c r="H1562" s="5">
        <v>6</v>
      </c>
      <c r="I1562" s="6" t="s">
        <v>4238</v>
      </c>
      <c r="J1562" s="5">
        <v>2140</v>
      </c>
    </row>
    <row r="1563" s="2" customFormat="1" spans="1:10">
      <c r="A1563" s="6">
        <f>1561</f>
        <v>1561</v>
      </c>
      <c r="B1563" s="6" t="s">
        <v>4239</v>
      </c>
      <c r="C1563" s="6" t="s">
        <v>12</v>
      </c>
      <c r="D1563" s="6" t="s">
        <v>3574</v>
      </c>
      <c r="E1563" s="6" t="s">
        <v>4222</v>
      </c>
      <c r="F1563" s="6" t="s">
        <v>4240</v>
      </c>
      <c r="G1563" s="6" t="s">
        <v>16</v>
      </c>
      <c r="H1563" s="5">
        <v>1</v>
      </c>
      <c r="I1563" s="6" t="s">
        <v>4240</v>
      </c>
      <c r="J1563" s="5">
        <v>460</v>
      </c>
    </row>
    <row r="1564" s="2" customFormat="1" spans="1:10">
      <c r="A1564" s="6">
        <f>1562</f>
        <v>1562</v>
      </c>
      <c r="B1564" s="6" t="s">
        <v>4241</v>
      </c>
      <c r="C1564" s="6" t="s">
        <v>12</v>
      </c>
      <c r="D1564" s="6" t="s">
        <v>3574</v>
      </c>
      <c r="E1564" s="6" t="s">
        <v>4222</v>
      </c>
      <c r="F1564" s="6" t="s">
        <v>4242</v>
      </c>
      <c r="G1564" s="6" t="s">
        <v>16</v>
      </c>
      <c r="H1564" s="5">
        <v>1</v>
      </c>
      <c r="I1564" s="6" t="s">
        <v>4242</v>
      </c>
      <c r="J1564" s="5">
        <v>410</v>
      </c>
    </row>
    <row r="1565" s="2" customFormat="1" spans="1:10">
      <c r="A1565" s="6">
        <f>1563</f>
        <v>1563</v>
      </c>
      <c r="B1565" s="6" t="s">
        <v>4243</v>
      </c>
      <c r="C1565" s="6" t="s">
        <v>12</v>
      </c>
      <c r="D1565" s="6" t="s">
        <v>3574</v>
      </c>
      <c r="E1565" s="6" t="s">
        <v>4222</v>
      </c>
      <c r="F1565" s="6" t="s">
        <v>4244</v>
      </c>
      <c r="G1565" s="6" t="s">
        <v>16</v>
      </c>
      <c r="H1565" s="5">
        <v>2</v>
      </c>
      <c r="I1565" s="6" t="s">
        <v>4245</v>
      </c>
      <c r="J1565" s="5">
        <v>520</v>
      </c>
    </row>
    <row r="1566" s="2" customFormat="1" spans="1:10">
      <c r="A1566" s="6">
        <f>1564</f>
        <v>1564</v>
      </c>
      <c r="B1566" s="6" t="s">
        <v>4246</v>
      </c>
      <c r="C1566" s="6" t="s">
        <v>12</v>
      </c>
      <c r="D1566" s="6" t="s">
        <v>3574</v>
      </c>
      <c r="E1566" s="6" t="s">
        <v>4222</v>
      </c>
      <c r="F1566" s="6" t="s">
        <v>4247</v>
      </c>
      <c r="G1566" s="6" t="s">
        <v>16</v>
      </c>
      <c r="H1566" s="5">
        <v>2</v>
      </c>
      <c r="I1566" s="6" t="s">
        <v>4248</v>
      </c>
      <c r="J1566" s="5">
        <v>980</v>
      </c>
    </row>
    <row r="1567" s="2" customFormat="1" spans="1:10">
      <c r="A1567" s="6">
        <f>1565</f>
        <v>1565</v>
      </c>
      <c r="B1567" s="6" t="s">
        <v>4249</v>
      </c>
      <c r="C1567" s="6" t="s">
        <v>12</v>
      </c>
      <c r="D1567" s="6" t="s">
        <v>3574</v>
      </c>
      <c r="E1567" s="6" t="s">
        <v>4222</v>
      </c>
      <c r="F1567" s="6" t="s">
        <v>4250</v>
      </c>
      <c r="G1567" s="6" t="s">
        <v>16</v>
      </c>
      <c r="H1567" s="5">
        <v>1</v>
      </c>
      <c r="I1567" s="6" t="s">
        <v>4250</v>
      </c>
      <c r="J1567" s="5">
        <v>460</v>
      </c>
    </row>
    <row r="1568" s="2" customFormat="1" ht="27" spans="1:10">
      <c r="A1568" s="6">
        <f>1566</f>
        <v>1566</v>
      </c>
      <c r="B1568" s="6" t="s">
        <v>4251</v>
      </c>
      <c r="C1568" s="6" t="s">
        <v>12</v>
      </c>
      <c r="D1568" s="6" t="s">
        <v>3574</v>
      </c>
      <c r="E1568" s="6" t="s">
        <v>4222</v>
      </c>
      <c r="F1568" s="6" t="s">
        <v>4252</v>
      </c>
      <c r="G1568" s="6" t="s">
        <v>16</v>
      </c>
      <c r="H1568" s="5">
        <v>6</v>
      </c>
      <c r="I1568" s="6" t="s">
        <v>4253</v>
      </c>
      <c r="J1568" s="5">
        <v>1960</v>
      </c>
    </row>
    <row r="1569" s="2" customFormat="1" spans="1:10">
      <c r="A1569" s="6">
        <f>1567</f>
        <v>1567</v>
      </c>
      <c r="B1569" s="6" t="s">
        <v>4254</v>
      </c>
      <c r="C1569" s="6" t="s">
        <v>12</v>
      </c>
      <c r="D1569" s="6" t="s">
        <v>3574</v>
      </c>
      <c r="E1569" s="6" t="s">
        <v>4222</v>
      </c>
      <c r="F1569" s="6" t="s">
        <v>4255</v>
      </c>
      <c r="G1569" s="6" t="s">
        <v>16</v>
      </c>
      <c r="H1569" s="5">
        <v>1</v>
      </c>
      <c r="I1569" s="6" t="s">
        <v>4255</v>
      </c>
      <c r="J1569" s="5">
        <v>435</v>
      </c>
    </row>
    <row r="1570" s="2" customFormat="1" spans="1:10">
      <c r="A1570" s="6">
        <f>1568</f>
        <v>1568</v>
      </c>
      <c r="B1570" s="6" t="s">
        <v>4256</v>
      </c>
      <c r="C1570" s="6" t="s">
        <v>12</v>
      </c>
      <c r="D1570" s="6" t="s">
        <v>3574</v>
      </c>
      <c r="E1570" s="6" t="s">
        <v>4222</v>
      </c>
      <c r="F1570" s="6" t="s">
        <v>4257</v>
      </c>
      <c r="G1570" s="6" t="s">
        <v>16</v>
      </c>
      <c r="H1570" s="5">
        <v>2</v>
      </c>
      <c r="I1570" s="6" t="s">
        <v>4258</v>
      </c>
      <c r="J1570" s="5">
        <v>980</v>
      </c>
    </row>
    <row r="1571" s="2" customFormat="1" spans="1:10">
      <c r="A1571" s="6">
        <f>1569</f>
        <v>1569</v>
      </c>
      <c r="B1571" s="6" t="s">
        <v>4259</v>
      </c>
      <c r="C1571" s="6" t="s">
        <v>12</v>
      </c>
      <c r="D1571" s="6" t="s">
        <v>3574</v>
      </c>
      <c r="E1571" s="6" t="s">
        <v>4222</v>
      </c>
      <c r="F1571" s="6" t="s">
        <v>4260</v>
      </c>
      <c r="G1571" s="6" t="s">
        <v>16</v>
      </c>
      <c r="H1571" s="5">
        <v>1</v>
      </c>
      <c r="I1571" s="6" t="s">
        <v>4260</v>
      </c>
      <c r="J1571" s="5">
        <v>460</v>
      </c>
    </row>
    <row r="1572" s="2" customFormat="1" ht="27" spans="1:10">
      <c r="A1572" s="6">
        <f>1570</f>
        <v>1570</v>
      </c>
      <c r="B1572" s="6" t="s">
        <v>4261</v>
      </c>
      <c r="C1572" s="6" t="s">
        <v>12</v>
      </c>
      <c r="D1572" s="6" t="s">
        <v>3574</v>
      </c>
      <c r="E1572" s="6" t="s">
        <v>4222</v>
      </c>
      <c r="F1572" s="6" t="s">
        <v>4262</v>
      </c>
      <c r="G1572" s="6" t="s">
        <v>16</v>
      </c>
      <c r="H1572" s="5">
        <v>5</v>
      </c>
      <c r="I1572" s="6" t="s">
        <v>4263</v>
      </c>
      <c r="J1572" s="5">
        <v>1800</v>
      </c>
    </row>
    <row r="1573" s="2" customFormat="1" ht="27" spans="1:10">
      <c r="A1573" s="6">
        <f>1571</f>
        <v>1571</v>
      </c>
      <c r="B1573" s="6" t="s">
        <v>4264</v>
      </c>
      <c r="C1573" s="6" t="s">
        <v>12</v>
      </c>
      <c r="D1573" s="6" t="s">
        <v>3574</v>
      </c>
      <c r="E1573" s="6" t="s">
        <v>4222</v>
      </c>
      <c r="F1573" s="6" t="s">
        <v>4265</v>
      </c>
      <c r="G1573" s="6" t="s">
        <v>16</v>
      </c>
      <c r="H1573" s="5">
        <v>5</v>
      </c>
      <c r="I1573" s="6" t="s">
        <v>4266</v>
      </c>
      <c r="J1573" s="5">
        <v>2000</v>
      </c>
    </row>
    <row r="1574" s="2" customFormat="1" spans="1:10">
      <c r="A1574" s="6">
        <f>1572</f>
        <v>1572</v>
      </c>
      <c r="B1574" s="6" t="s">
        <v>4267</v>
      </c>
      <c r="C1574" s="6" t="s">
        <v>12</v>
      </c>
      <c r="D1574" s="6" t="s">
        <v>3574</v>
      </c>
      <c r="E1574" s="6" t="s">
        <v>4222</v>
      </c>
      <c r="F1574" s="6" t="s">
        <v>4268</v>
      </c>
      <c r="G1574" s="6" t="s">
        <v>16</v>
      </c>
      <c r="H1574" s="5">
        <v>3</v>
      </c>
      <c r="I1574" s="6" t="s">
        <v>4269</v>
      </c>
      <c r="J1574" s="5">
        <v>1620</v>
      </c>
    </row>
    <row r="1575" s="2" customFormat="1" ht="27" spans="1:10">
      <c r="A1575" s="6">
        <f>1573</f>
        <v>1573</v>
      </c>
      <c r="B1575" s="6" t="s">
        <v>4270</v>
      </c>
      <c r="C1575" s="6" t="s">
        <v>12</v>
      </c>
      <c r="D1575" s="6" t="s">
        <v>3574</v>
      </c>
      <c r="E1575" s="6" t="s">
        <v>4222</v>
      </c>
      <c r="F1575" s="6" t="s">
        <v>4271</v>
      </c>
      <c r="G1575" s="6" t="s">
        <v>16</v>
      </c>
      <c r="H1575" s="5">
        <v>5</v>
      </c>
      <c r="I1575" s="6" t="s">
        <v>4272</v>
      </c>
      <c r="J1575" s="5">
        <v>1800</v>
      </c>
    </row>
    <row r="1576" s="2" customFormat="1" spans="1:10">
      <c r="A1576" s="6">
        <f>1574</f>
        <v>1574</v>
      </c>
      <c r="B1576" s="6" t="s">
        <v>4273</v>
      </c>
      <c r="C1576" s="6" t="s">
        <v>12</v>
      </c>
      <c r="D1576" s="6" t="s">
        <v>3574</v>
      </c>
      <c r="E1576" s="6" t="s">
        <v>4222</v>
      </c>
      <c r="F1576" s="6" t="s">
        <v>4274</v>
      </c>
      <c r="G1576" s="6" t="s">
        <v>16</v>
      </c>
      <c r="H1576" s="5">
        <v>3</v>
      </c>
      <c r="I1576" s="6" t="s">
        <v>4275</v>
      </c>
      <c r="J1576" s="5">
        <v>580</v>
      </c>
    </row>
    <row r="1577" s="2" customFormat="1" spans="1:10">
      <c r="A1577" s="6">
        <f>1575</f>
        <v>1575</v>
      </c>
      <c r="B1577" s="6" t="s">
        <v>4276</v>
      </c>
      <c r="C1577" s="6" t="s">
        <v>12</v>
      </c>
      <c r="D1577" s="6" t="s">
        <v>3574</v>
      </c>
      <c r="E1577" s="6" t="s">
        <v>4222</v>
      </c>
      <c r="F1577" s="6" t="s">
        <v>4277</v>
      </c>
      <c r="G1577" s="6" t="s">
        <v>16</v>
      </c>
      <c r="H1577" s="5">
        <v>1</v>
      </c>
      <c r="I1577" s="6" t="s">
        <v>4277</v>
      </c>
      <c r="J1577" s="5">
        <v>360</v>
      </c>
    </row>
    <row r="1578" s="2" customFormat="1" spans="1:10">
      <c r="A1578" s="6">
        <f>1576</f>
        <v>1576</v>
      </c>
      <c r="B1578" s="6" t="s">
        <v>4278</v>
      </c>
      <c r="C1578" s="6" t="s">
        <v>12</v>
      </c>
      <c r="D1578" s="6" t="s">
        <v>3574</v>
      </c>
      <c r="E1578" s="6" t="s">
        <v>4222</v>
      </c>
      <c r="F1578" s="6" t="s">
        <v>4279</v>
      </c>
      <c r="G1578" s="6" t="s">
        <v>16</v>
      </c>
      <c r="H1578" s="5">
        <v>2</v>
      </c>
      <c r="I1578" s="6" t="s">
        <v>4280</v>
      </c>
      <c r="J1578" s="5">
        <v>980</v>
      </c>
    </row>
    <row r="1579" s="2" customFormat="1" spans="1:10">
      <c r="A1579" s="6">
        <f>1577</f>
        <v>1577</v>
      </c>
      <c r="B1579" s="6" t="s">
        <v>4281</v>
      </c>
      <c r="C1579" s="6" t="s">
        <v>12</v>
      </c>
      <c r="D1579" s="6" t="s">
        <v>3574</v>
      </c>
      <c r="E1579" s="6" t="s">
        <v>4222</v>
      </c>
      <c r="F1579" s="6" t="s">
        <v>4282</v>
      </c>
      <c r="G1579" s="6" t="s">
        <v>16</v>
      </c>
      <c r="H1579" s="5">
        <v>1</v>
      </c>
      <c r="I1579" s="6" t="s">
        <v>4282</v>
      </c>
      <c r="J1579" s="5">
        <v>440</v>
      </c>
    </row>
    <row r="1580" s="2" customFormat="1" spans="1:10">
      <c r="A1580" s="6">
        <f>1578</f>
        <v>1578</v>
      </c>
      <c r="B1580" s="6" t="s">
        <v>4283</v>
      </c>
      <c r="C1580" s="6" t="s">
        <v>12</v>
      </c>
      <c r="D1580" s="6" t="s">
        <v>3574</v>
      </c>
      <c r="E1580" s="6" t="s">
        <v>4222</v>
      </c>
      <c r="F1580" s="6" t="s">
        <v>4284</v>
      </c>
      <c r="G1580" s="6" t="s">
        <v>16</v>
      </c>
      <c r="H1580" s="5">
        <v>2</v>
      </c>
      <c r="I1580" s="6" t="s">
        <v>4285</v>
      </c>
      <c r="J1580" s="5">
        <v>880</v>
      </c>
    </row>
    <row r="1581" s="2" customFormat="1" spans="1:10">
      <c r="A1581" s="6">
        <f>1579</f>
        <v>1579</v>
      </c>
      <c r="B1581" s="6" t="s">
        <v>4286</v>
      </c>
      <c r="C1581" s="6" t="s">
        <v>12</v>
      </c>
      <c r="D1581" s="6" t="s">
        <v>3574</v>
      </c>
      <c r="E1581" s="6" t="s">
        <v>4222</v>
      </c>
      <c r="F1581" s="6" t="s">
        <v>4287</v>
      </c>
      <c r="G1581" s="6" t="s">
        <v>16</v>
      </c>
      <c r="H1581" s="5">
        <v>2</v>
      </c>
      <c r="I1581" s="6" t="s">
        <v>4288</v>
      </c>
      <c r="J1581" s="5">
        <v>920</v>
      </c>
    </row>
    <row r="1582" s="2" customFormat="1" spans="1:10">
      <c r="A1582" s="6">
        <f>1580</f>
        <v>1580</v>
      </c>
      <c r="B1582" s="6" t="s">
        <v>4289</v>
      </c>
      <c r="C1582" s="6" t="s">
        <v>12</v>
      </c>
      <c r="D1582" s="6" t="s">
        <v>3574</v>
      </c>
      <c r="E1582" s="6" t="s">
        <v>4222</v>
      </c>
      <c r="F1582" s="6" t="s">
        <v>4290</v>
      </c>
      <c r="G1582" s="6" t="s">
        <v>16</v>
      </c>
      <c r="H1582" s="5">
        <v>3</v>
      </c>
      <c r="I1582" s="6" t="s">
        <v>4291</v>
      </c>
      <c r="J1582" s="5">
        <v>1020</v>
      </c>
    </row>
    <row r="1583" s="2" customFormat="1" ht="27" spans="1:10">
      <c r="A1583" s="6">
        <f>1581</f>
        <v>1581</v>
      </c>
      <c r="B1583" s="6" t="s">
        <v>4292</v>
      </c>
      <c r="C1583" s="6" t="s">
        <v>12</v>
      </c>
      <c r="D1583" s="6" t="s">
        <v>3574</v>
      </c>
      <c r="E1583" s="6" t="s">
        <v>4222</v>
      </c>
      <c r="F1583" s="6" t="s">
        <v>4293</v>
      </c>
      <c r="G1583" s="6" t="s">
        <v>16</v>
      </c>
      <c r="H1583" s="5">
        <v>4</v>
      </c>
      <c r="I1583" s="6" t="s">
        <v>4294</v>
      </c>
      <c r="J1583" s="5">
        <v>1840</v>
      </c>
    </row>
    <row r="1584" s="2" customFormat="1" spans="1:10">
      <c r="A1584" s="6">
        <f>1582</f>
        <v>1582</v>
      </c>
      <c r="B1584" s="6" t="s">
        <v>4295</v>
      </c>
      <c r="C1584" s="6" t="s">
        <v>12</v>
      </c>
      <c r="D1584" s="6" t="s">
        <v>3574</v>
      </c>
      <c r="E1584" s="6" t="s">
        <v>4222</v>
      </c>
      <c r="F1584" s="6" t="s">
        <v>4296</v>
      </c>
      <c r="G1584" s="6" t="s">
        <v>16</v>
      </c>
      <c r="H1584" s="5">
        <v>3</v>
      </c>
      <c r="I1584" s="6" t="s">
        <v>4297</v>
      </c>
      <c r="J1584" s="5">
        <v>1080</v>
      </c>
    </row>
    <row r="1585" s="2" customFormat="1" spans="1:10">
      <c r="A1585" s="6">
        <f>1583</f>
        <v>1583</v>
      </c>
      <c r="B1585" s="6" t="s">
        <v>4298</v>
      </c>
      <c r="C1585" s="6" t="s">
        <v>12</v>
      </c>
      <c r="D1585" s="6" t="s">
        <v>3574</v>
      </c>
      <c r="E1585" s="6" t="s">
        <v>4222</v>
      </c>
      <c r="F1585" s="6" t="s">
        <v>4299</v>
      </c>
      <c r="G1585" s="6" t="s">
        <v>16</v>
      </c>
      <c r="H1585" s="5">
        <v>1</v>
      </c>
      <c r="I1585" s="6" t="s">
        <v>4299</v>
      </c>
      <c r="J1585" s="5">
        <v>400</v>
      </c>
    </row>
    <row r="1586" s="2" customFormat="1" spans="1:10">
      <c r="A1586" s="6">
        <f>1584</f>
        <v>1584</v>
      </c>
      <c r="B1586" s="6" t="s">
        <v>4300</v>
      </c>
      <c r="C1586" s="6" t="s">
        <v>12</v>
      </c>
      <c r="D1586" s="6" t="s">
        <v>3574</v>
      </c>
      <c r="E1586" s="6" t="s">
        <v>4222</v>
      </c>
      <c r="F1586" s="6" t="s">
        <v>4301</v>
      </c>
      <c r="G1586" s="6" t="s">
        <v>16</v>
      </c>
      <c r="H1586" s="5">
        <v>3</v>
      </c>
      <c r="I1586" s="6" t="s">
        <v>4302</v>
      </c>
      <c r="J1586" s="5">
        <v>1080</v>
      </c>
    </row>
    <row r="1587" s="2" customFormat="1" ht="27" spans="1:10">
      <c r="A1587" s="6">
        <f>1585</f>
        <v>1585</v>
      </c>
      <c r="B1587" s="6" t="s">
        <v>4303</v>
      </c>
      <c r="C1587" s="6" t="s">
        <v>12</v>
      </c>
      <c r="D1587" s="6" t="s">
        <v>3574</v>
      </c>
      <c r="E1587" s="6" t="s">
        <v>4222</v>
      </c>
      <c r="F1587" s="6" t="s">
        <v>4304</v>
      </c>
      <c r="G1587" s="6" t="s">
        <v>16</v>
      </c>
      <c r="H1587" s="5">
        <v>4</v>
      </c>
      <c r="I1587" s="6" t="s">
        <v>4305</v>
      </c>
      <c r="J1587" s="5">
        <v>1100</v>
      </c>
    </row>
    <row r="1588" s="2" customFormat="1" spans="1:10">
      <c r="A1588" s="6">
        <f>1586</f>
        <v>1586</v>
      </c>
      <c r="B1588" s="6" t="s">
        <v>4306</v>
      </c>
      <c r="C1588" s="6" t="s">
        <v>12</v>
      </c>
      <c r="D1588" s="6" t="s">
        <v>3574</v>
      </c>
      <c r="E1588" s="6" t="s">
        <v>4222</v>
      </c>
      <c r="F1588" s="6" t="s">
        <v>4307</v>
      </c>
      <c r="G1588" s="6" t="s">
        <v>16</v>
      </c>
      <c r="H1588" s="5">
        <v>3</v>
      </c>
      <c r="I1588" s="6" t="s">
        <v>4308</v>
      </c>
      <c r="J1588" s="5">
        <v>858</v>
      </c>
    </row>
    <row r="1589" s="2" customFormat="1" ht="27" spans="1:10">
      <c r="A1589" s="6">
        <f>1587</f>
        <v>1587</v>
      </c>
      <c r="B1589" s="6" t="s">
        <v>4309</v>
      </c>
      <c r="C1589" s="6" t="s">
        <v>12</v>
      </c>
      <c r="D1589" s="6" t="s">
        <v>3574</v>
      </c>
      <c r="E1589" s="6" t="s">
        <v>4222</v>
      </c>
      <c r="F1589" s="6" t="s">
        <v>4310</v>
      </c>
      <c r="G1589" s="6" t="s">
        <v>16</v>
      </c>
      <c r="H1589" s="5">
        <v>4</v>
      </c>
      <c r="I1589" s="6" t="s">
        <v>4311</v>
      </c>
      <c r="J1589" s="5">
        <v>1018</v>
      </c>
    </row>
    <row r="1590" s="2" customFormat="1" spans="1:10">
      <c r="A1590" s="6">
        <f>1588</f>
        <v>1588</v>
      </c>
      <c r="B1590" s="6" t="s">
        <v>4312</v>
      </c>
      <c r="C1590" s="6" t="s">
        <v>12</v>
      </c>
      <c r="D1590" s="6" t="s">
        <v>3574</v>
      </c>
      <c r="E1590" s="6" t="s">
        <v>4222</v>
      </c>
      <c r="F1590" s="6" t="s">
        <v>4313</v>
      </c>
      <c r="G1590" s="6" t="s">
        <v>16</v>
      </c>
      <c r="H1590" s="5">
        <v>3</v>
      </c>
      <c r="I1590" s="6" t="s">
        <v>4314</v>
      </c>
      <c r="J1590" s="5">
        <v>874</v>
      </c>
    </row>
    <row r="1591" s="2" customFormat="1" spans="1:10">
      <c r="A1591" s="6">
        <f>1589</f>
        <v>1589</v>
      </c>
      <c r="B1591" s="6" t="s">
        <v>4315</v>
      </c>
      <c r="C1591" s="6" t="s">
        <v>12</v>
      </c>
      <c r="D1591" s="6" t="s">
        <v>3574</v>
      </c>
      <c r="E1591" s="6" t="s">
        <v>4222</v>
      </c>
      <c r="F1591" s="6" t="s">
        <v>300</v>
      </c>
      <c r="G1591" s="6" t="s">
        <v>16</v>
      </c>
      <c r="H1591" s="5">
        <v>2</v>
      </c>
      <c r="I1591" s="6" t="s">
        <v>4316</v>
      </c>
      <c r="J1591" s="5">
        <v>520</v>
      </c>
    </row>
    <row r="1592" s="2" customFormat="1" spans="1:10">
      <c r="A1592" s="6">
        <f>1590</f>
        <v>1590</v>
      </c>
      <c r="B1592" s="6" t="s">
        <v>4317</v>
      </c>
      <c r="C1592" s="6" t="s">
        <v>12</v>
      </c>
      <c r="D1592" s="6" t="s">
        <v>3574</v>
      </c>
      <c r="E1592" s="6" t="s">
        <v>4222</v>
      </c>
      <c r="F1592" s="6" t="s">
        <v>4318</v>
      </c>
      <c r="G1592" s="6" t="s">
        <v>16</v>
      </c>
      <c r="H1592" s="5">
        <v>1</v>
      </c>
      <c r="I1592" s="6" t="s">
        <v>4318</v>
      </c>
      <c r="J1592" s="5">
        <v>223</v>
      </c>
    </row>
    <row r="1593" s="2" customFormat="1" spans="1:10">
      <c r="A1593" s="6">
        <f>1591</f>
        <v>1591</v>
      </c>
      <c r="B1593" s="6" t="s">
        <v>4319</v>
      </c>
      <c r="C1593" s="6" t="s">
        <v>12</v>
      </c>
      <c r="D1593" s="6" t="s">
        <v>3574</v>
      </c>
      <c r="E1593" s="6" t="s">
        <v>4222</v>
      </c>
      <c r="F1593" s="6" t="s">
        <v>4320</v>
      </c>
      <c r="G1593" s="6" t="s">
        <v>16</v>
      </c>
      <c r="H1593" s="5">
        <v>3</v>
      </c>
      <c r="I1593" s="6" t="s">
        <v>4321</v>
      </c>
      <c r="J1593" s="5">
        <v>635</v>
      </c>
    </row>
    <row r="1594" s="2" customFormat="1" spans="1:10">
      <c r="A1594" s="6">
        <f>1592</f>
        <v>1592</v>
      </c>
      <c r="B1594" s="6" t="s">
        <v>4322</v>
      </c>
      <c r="C1594" s="6" t="s">
        <v>12</v>
      </c>
      <c r="D1594" s="6" t="s">
        <v>3574</v>
      </c>
      <c r="E1594" s="6" t="s">
        <v>4222</v>
      </c>
      <c r="F1594" s="6" t="s">
        <v>4323</v>
      </c>
      <c r="G1594" s="6" t="s">
        <v>16</v>
      </c>
      <c r="H1594" s="5">
        <v>1</v>
      </c>
      <c r="I1594" s="6" t="s">
        <v>4323</v>
      </c>
      <c r="J1594" s="5">
        <v>273</v>
      </c>
    </row>
    <row r="1595" s="2" customFormat="1" spans="1:10">
      <c r="A1595" s="6">
        <f>1593</f>
        <v>1593</v>
      </c>
      <c r="B1595" s="6" t="s">
        <v>4324</v>
      </c>
      <c r="C1595" s="6" t="s">
        <v>12</v>
      </c>
      <c r="D1595" s="6" t="s">
        <v>3574</v>
      </c>
      <c r="E1595" s="6" t="s">
        <v>4222</v>
      </c>
      <c r="F1595" s="6" t="s">
        <v>4325</v>
      </c>
      <c r="G1595" s="6" t="s">
        <v>16</v>
      </c>
      <c r="H1595" s="5">
        <v>3</v>
      </c>
      <c r="I1595" s="6" t="s">
        <v>4326</v>
      </c>
      <c r="J1595" s="5">
        <v>680</v>
      </c>
    </row>
    <row r="1596" s="2" customFormat="1" spans="1:10">
      <c r="A1596" s="6">
        <f>1594</f>
        <v>1594</v>
      </c>
      <c r="B1596" s="6" t="s">
        <v>4327</v>
      </c>
      <c r="C1596" s="6" t="s">
        <v>12</v>
      </c>
      <c r="D1596" s="6" t="s">
        <v>3574</v>
      </c>
      <c r="E1596" s="6" t="s">
        <v>4222</v>
      </c>
      <c r="F1596" s="6" t="s">
        <v>4328</v>
      </c>
      <c r="G1596" s="6" t="s">
        <v>16</v>
      </c>
      <c r="H1596" s="5">
        <v>2</v>
      </c>
      <c r="I1596" s="6" t="s">
        <v>4329</v>
      </c>
      <c r="J1596" s="5">
        <v>421</v>
      </c>
    </row>
    <row r="1597" s="2" customFormat="1" ht="27" spans="1:10">
      <c r="A1597" s="6">
        <f>1595</f>
        <v>1595</v>
      </c>
      <c r="B1597" s="6" t="s">
        <v>4330</v>
      </c>
      <c r="C1597" s="6" t="s">
        <v>12</v>
      </c>
      <c r="D1597" s="6" t="s">
        <v>3574</v>
      </c>
      <c r="E1597" s="6" t="s">
        <v>4222</v>
      </c>
      <c r="F1597" s="6" t="s">
        <v>4331</v>
      </c>
      <c r="G1597" s="6" t="s">
        <v>16</v>
      </c>
      <c r="H1597" s="5">
        <v>6</v>
      </c>
      <c r="I1597" s="6" t="s">
        <v>4332</v>
      </c>
      <c r="J1597" s="5">
        <v>1134</v>
      </c>
    </row>
    <row r="1598" s="2" customFormat="1" spans="1:10">
      <c r="A1598" s="6">
        <f>1596</f>
        <v>1596</v>
      </c>
      <c r="B1598" s="6" t="s">
        <v>4333</v>
      </c>
      <c r="C1598" s="6" t="s">
        <v>12</v>
      </c>
      <c r="D1598" s="6" t="s">
        <v>3574</v>
      </c>
      <c r="E1598" s="6" t="s">
        <v>4222</v>
      </c>
      <c r="F1598" s="6" t="s">
        <v>4334</v>
      </c>
      <c r="G1598" s="6" t="s">
        <v>16</v>
      </c>
      <c r="H1598" s="5">
        <v>2</v>
      </c>
      <c r="I1598" s="6" t="s">
        <v>4335</v>
      </c>
      <c r="J1598" s="5">
        <v>406</v>
      </c>
    </row>
    <row r="1599" s="2" customFormat="1" spans="1:10">
      <c r="A1599" s="6">
        <f>1597</f>
        <v>1597</v>
      </c>
      <c r="B1599" s="6" t="s">
        <v>4336</v>
      </c>
      <c r="C1599" s="6" t="s">
        <v>12</v>
      </c>
      <c r="D1599" s="6" t="s">
        <v>3574</v>
      </c>
      <c r="E1599" s="6" t="s">
        <v>4222</v>
      </c>
      <c r="F1599" s="6" t="s">
        <v>4337</v>
      </c>
      <c r="G1599" s="6" t="s">
        <v>16</v>
      </c>
      <c r="H1599" s="5">
        <v>1</v>
      </c>
      <c r="I1599" s="6" t="s">
        <v>4337</v>
      </c>
      <c r="J1599" s="5">
        <v>280</v>
      </c>
    </row>
    <row r="1600" s="2" customFormat="1" spans="1:10">
      <c r="A1600" s="6">
        <f>1598</f>
        <v>1598</v>
      </c>
      <c r="B1600" s="6" t="s">
        <v>4338</v>
      </c>
      <c r="C1600" s="6" t="s">
        <v>12</v>
      </c>
      <c r="D1600" s="6" t="s">
        <v>3574</v>
      </c>
      <c r="E1600" s="6" t="s">
        <v>4222</v>
      </c>
      <c r="F1600" s="6" t="s">
        <v>4339</v>
      </c>
      <c r="G1600" s="6" t="s">
        <v>16</v>
      </c>
      <c r="H1600" s="5">
        <v>3</v>
      </c>
      <c r="I1600" s="6" t="s">
        <v>4340</v>
      </c>
      <c r="J1600" s="5">
        <v>632</v>
      </c>
    </row>
    <row r="1601" s="2" customFormat="1" spans="1:10">
      <c r="A1601" s="6">
        <f>1599</f>
        <v>1599</v>
      </c>
      <c r="B1601" s="6" t="s">
        <v>4341</v>
      </c>
      <c r="C1601" s="6" t="s">
        <v>12</v>
      </c>
      <c r="D1601" s="6" t="s">
        <v>3574</v>
      </c>
      <c r="E1601" s="6" t="s">
        <v>4222</v>
      </c>
      <c r="F1601" s="6" t="s">
        <v>4342</v>
      </c>
      <c r="G1601" s="6" t="s">
        <v>16</v>
      </c>
      <c r="H1601" s="5">
        <v>3</v>
      </c>
      <c r="I1601" s="6" t="s">
        <v>4343</v>
      </c>
      <c r="J1601" s="5">
        <v>786</v>
      </c>
    </row>
    <row r="1602" s="2" customFormat="1" ht="27" spans="1:10">
      <c r="A1602" s="6">
        <f>1600</f>
        <v>1600</v>
      </c>
      <c r="B1602" s="6" t="s">
        <v>4344</v>
      </c>
      <c r="C1602" s="6" t="s">
        <v>12</v>
      </c>
      <c r="D1602" s="6" t="s">
        <v>3574</v>
      </c>
      <c r="E1602" s="6" t="s">
        <v>4222</v>
      </c>
      <c r="F1602" s="6" t="s">
        <v>4345</v>
      </c>
      <c r="G1602" s="6" t="s">
        <v>16</v>
      </c>
      <c r="H1602" s="5">
        <v>4</v>
      </c>
      <c r="I1602" s="6" t="s">
        <v>4346</v>
      </c>
      <c r="J1602" s="5">
        <v>688</v>
      </c>
    </row>
    <row r="1603" s="2" customFormat="1" ht="27" spans="1:10">
      <c r="A1603" s="6">
        <f>1601</f>
        <v>1601</v>
      </c>
      <c r="B1603" s="6" t="s">
        <v>4347</v>
      </c>
      <c r="C1603" s="6" t="s">
        <v>12</v>
      </c>
      <c r="D1603" s="6" t="s">
        <v>3574</v>
      </c>
      <c r="E1603" s="6" t="s">
        <v>4222</v>
      </c>
      <c r="F1603" s="6" t="s">
        <v>4348</v>
      </c>
      <c r="G1603" s="6" t="s">
        <v>16</v>
      </c>
      <c r="H1603" s="5">
        <v>4</v>
      </c>
      <c r="I1603" s="6" t="s">
        <v>4349</v>
      </c>
      <c r="J1603" s="5">
        <v>1018</v>
      </c>
    </row>
    <row r="1604" s="2" customFormat="1" spans="1:10">
      <c r="A1604" s="6">
        <f>1602</f>
        <v>1602</v>
      </c>
      <c r="B1604" s="6" t="s">
        <v>4350</v>
      </c>
      <c r="C1604" s="6" t="s">
        <v>12</v>
      </c>
      <c r="D1604" s="6" t="s">
        <v>3574</v>
      </c>
      <c r="E1604" s="6" t="s">
        <v>4222</v>
      </c>
      <c r="F1604" s="6" t="s">
        <v>4351</v>
      </c>
      <c r="G1604" s="6" t="s">
        <v>16</v>
      </c>
      <c r="H1604" s="5">
        <v>3</v>
      </c>
      <c r="I1604" s="6" t="s">
        <v>4352</v>
      </c>
      <c r="J1604" s="5">
        <v>571</v>
      </c>
    </row>
    <row r="1605" s="2" customFormat="1" ht="27" spans="1:10">
      <c r="A1605" s="6">
        <f>1603</f>
        <v>1603</v>
      </c>
      <c r="B1605" s="6" t="s">
        <v>4353</v>
      </c>
      <c r="C1605" s="6" t="s">
        <v>12</v>
      </c>
      <c r="D1605" s="6" t="s">
        <v>3574</v>
      </c>
      <c r="E1605" s="6" t="s">
        <v>4222</v>
      </c>
      <c r="F1605" s="6" t="s">
        <v>4354</v>
      </c>
      <c r="G1605" s="6" t="s">
        <v>16</v>
      </c>
      <c r="H1605" s="5">
        <v>5</v>
      </c>
      <c r="I1605" s="6" t="s">
        <v>4355</v>
      </c>
      <c r="J1605" s="5">
        <v>738</v>
      </c>
    </row>
    <row r="1606" s="2" customFormat="1" spans="1:10">
      <c r="A1606" s="6">
        <f>1604</f>
        <v>1604</v>
      </c>
      <c r="B1606" s="6" t="s">
        <v>4356</v>
      </c>
      <c r="C1606" s="6" t="s">
        <v>12</v>
      </c>
      <c r="D1606" s="6" t="s">
        <v>3574</v>
      </c>
      <c r="E1606" s="6" t="s">
        <v>4222</v>
      </c>
      <c r="F1606" s="6" t="s">
        <v>4357</v>
      </c>
      <c r="G1606" s="6" t="s">
        <v>16</v>
      </c>
      <c r="H1606" s="5">
        <v>1</v>
      </c>
      <c r="I1606" s="6" t="s">
        <v>4357</v>
      </c>
      <c r="J1606" s="5">
        <v>290</v>
      </c>
    </row>
    <row r="1607" s="2" customFormat="1" ht="27" spans="1:10">
      <c r="A1607" s="6">
        <f>1605</f>
        <v>1605</v>
      </c>
      <c r="B1607" s="6" t="s">
        <v>4358</v>
      </c>
      <c r="C1607" s="6" t="s">
        <v>12</v>
      </c>
      <c r="D1607" s="6" t="s">
        <v>3574</v>
      </c>
      <c r="E1607" s="6" t="s">
        <v>4222</v>
      </c>
      <c r="F1607" s="6" t="s">
        <v>4359</v>
      </c>
      <c r="G1607" s="6" t="s">
        <v>16</v>
      </c>
      <c r="H1607" s="5">
        <v>5</v>
      </c>
      <c r="I1607" s="6" t="s">
        <v>4360</v>
      </c>
      <c r="J1607" s="5">
        <v>1300</v>
      </c>
    </row>
    <row r="1608" s="2" customFormat="1" spans="1:10">
      <c r="A1608" s="6">
        <f>1606</f>
        <v>1606</v>
      </c>
      <c r="B1608" s="6" t="s">
        <v>4361</v>
      </c>
      <c r="C1608" s="6" t="s">
        <v>12</v>
      </c>
      <c r="D1608" s="6" t="s">
        <v>3574</v>
      </c>
      <c r="E1608" s="6" t="s">
        <v>4222</v>
      </c>
      <c r="F1608" s="6" t="s">
        <v>4362</v>
      </c>
      <c r="G1608" s="6" t="s">
        <v>16</v>
      </c>
      <c r="H1608" s="5">
        <v>3</v>
      </c>
      <c r="I1608" s="6" t="s">
        <v>4363</v>
      </c>
      <c r="J1608" s="5">
        <v>596</v>
      </c>
    </row>
    <row r="1609" s="2" customFormat="1" spans="1:10">
      <c r="A1609" s="6">
        <f>1607</f>
        <v>1607</v>
      </c>
      <c r="B1609" s="6" t="s">
        <v>4364</v>
      </c>
      <c r="C1609" s="6" t="s">
        <v>12</v>
      </c>
      <c r="D1609" s="6" t="s">
        <v>3574</v>
      </c>
      <c r="E1609" s="6" t="s">
        <v>4222</v>
      </c>
      <c r="F1609" s="6" t="s">
        <v>4365</v>
      </c>
      <c r="G1609" s="6" t="s">
        <v>16</v>
      </c>
      <c r="H1609" s="5">
        <v>1</v>
      </c>
      <c r="I1609" s="6" t="s">
        <v>4365</v>
      </c>
      <c r="J1609" s="5">
        <v>273</v>
      </c>
    </row>
    <row r="1610" s="2" customFormat="1" spans="1:10">
      <c r="A1610" s="6">
        <f>1608</f>
        <v>1608</v>
      </c>
      <c r="B1610" s="6" t="s">
        <v>4366</v>
      </c>
      <c r="C1610" s="6" t="s">
        <v>12</v>
      </c>
      <c r="D1610" s="6" t="s">
        <v>3574</v>
      </c>
      <c r="E1610" s="6" t="s">
        <v>4222</v>
      </c>
      <c r="F1610" s="6" t="s">
        <v>4367</v>
      </c>
      <c r="G1610" s="6" t="s">
        <v>16</v>
      </c>
      <c r="H1610" s="5">
        <v>3</v>
      </c>
      <c r="I1610" s="6" t="s">
        <v>4368</v>
      </c>
      <c r="J1610" s="5">
        <v>659</v>
      </c>
    </row>
    <row r="1611" s="2" customFormat="1" spans="1:10">
      <c r="A1611" s="6">
        <f>1609</f>
        <v>1609</v>
      </c>
      <c r="B1611" s="6" t="s">
        <v>4369</v>
      </c>
      <c r="C1611" s="6" t="s">
        <v>12</v>
      </c>
      <c r="D1611" s="6" t="s">
        <v>3574</v>
      </c>
      <c r="E1611" s="6" t="s">
        <v>4222</v>
      </c>
      <c r="F1611" s="6" t="s">
        <v>4370</v>
      </c>
      <c r="G1611" s="6" t="s">
        <v>16</v>
      </c>
      <c r="H1611" s="5">
        <v>2</v>
      </c>
      <c r="I1611" s="6" t="s">
        <v>4371</v>
      </c>
      <c r="J1611" s="5">
        <v>720</v>
      </c>
    </row>
    <row r="1612" s="2" customFormat="1" spans="1:10">
      <c r="A1612" s="6">
        <f>1610</f>
        <v>1610</v>
      </c>
      <c r="B1612" s="6" t="s">
        <v>4372</v>
      </c>
      <c r="C1612" s="6" t="s">
        <v>12</v>
      </c>
      <c r="D1612" s="6" t="s">
        <v>3574</v>
      </c>
      <c r="E1612" s="6" t="s">
        <v>4222</v>
      </c>
      <c r="F1612" s="6" t="s">
        <v>4373</v>
      </c>
      <c r="G1612" s="6" t="s">
        <v>16</v>
      </c>
      <c r="H1612" s="5">
        <v>2</v>
      </c>
      <c r="I1612" s="6" t="s">
        <v>4374</v>
      </c>
      <c r="J1612" s="5">
        <v>420</v>
      </c>
    </row>
    <row r="1613" s="2" customFormat="1" spans="1:10">
      <c r="A1613" s="6">
        <f>1611</f>
        <v>1611</v>
      </c>
      <c r="B1613" s="6" t="s">
        <v>4375</v>
      </c>
      <c r="C1613" s="6" t="s">
        <v>12</v>
      </c>
      <c r="D1613" s="6" t="s">
        <v>3574</v>
      </c>
      <c r="E1613" s="6" t="s">
        <v>4222</v>
      </c>
      <c r="F1613" s="6" t="s">
        <v>4376</v>
      </c>
      <c r="G1613" s="6" t="s">
        <v>16</v>
      </c>
      <c r="H1613" s="5">
        <v>3</v>
      </c>
      <c r="I1613" s="6" t="s">
        <v>4377</v>
      </c>
      <c r="J1613" s="5">
        <v>1380</v>
      </c>
    </row>
    <row r="1614" s="2" customFormat="1" spans="1:10">
      <c r="A1614" s="6">
        <f>1612</f>
        <v>1612</v>
      </c>
      <c r="B1614" s="6" t="s">
        <v>4378</v>
      </c>
      <c r="C1614" s="6" t="s">
        <v>12</v>
      </c>
      <c r="D1614" s="6" t="s">
        <v>3574</v>
      </c>
      <c r="E1614" s="6" t="s">
        <v>4222</v>
      </c>
      <c r="F1614" s="6" t="s">
        <v>4379</v>
      </c>
      <c r="G1614" s="6" t="s">
        <v>16</v>
      </c>
      <c r="H1614" s="5">
        <v>1</v>
      </c>
      <c r="I1614" s="6" t="s">
        <v>4379</v>
      </c>
      <c r="J1614" s="5">
        <v>263</v>
      </c>
    </row>
    <row r="1615" s="2" customFormat="1" spans="1:10">
      <c r="A1615" s="6">
        <f>1613</f>
        <v>1613</v>
      </c>
      <c r="B1615" s="6" t="s">
        <v>4380</v>
      </c>
      <c r="C1615" s="6" t="s">
        <v>12</v>
      </c>
      <c r="D1615" s="6" t="s">
        <v>3574</v>
      </c>
      <c r="E1615" s="6" t="s">
        <v>4222</v>
      </c>
      <c r="F1615" s="6" t="s">
        <v>4381</v>
      </c>
      <c r="G1615" s="6" t="s">
        <v>16</v>
      </c>
      <c r="H1615" s="5">
        <v>2</v>
      </c>
      <c r="I1615" s="6" t="s">
        <v>4382</v>
      </c>
      <c r="J1615" s="5">
        <v>446</v>
      </c>
    </row>
    <row r="1616" s="2" customFormat="1" spans="1:10">
      <c r="A1616" s="6">
        <f>1614</f>
        <v>1614</v>
      </c>
      <c r="B1616" s="6" t="s">
        <v>4383</v>
      </c>
      <c r="C1616" s="6" t="s">
        <v>12</v>
      </c>
      <c r="D1616" s="6" t="s">
        <v>3574</v>
      </c>
      <c r="E1616" s="6" t="s">
        <v>4222</v>
      </c>
      <c r="F1616" s="6" t="s">
        <v>4384</v>
      </c>
      <c r="G1616" s="6" t="s">
        <v>16</v>
      </c>
      <c r="H1616" s="5">
        <v>1</v>
      </c>
      <c r="I1616" s="6" t="s">
        <v>4384</v>
      </c>
      <c r="J1616" s="5">
        <v>440</v>
      </c>
    </row>
    <row r="1617" s="2" customFormat="1" spans="1:10">
      <c r="A1617" s="6">
        <f>1615</f>
        <v>1615</v>
      </c>
      <c r="B1617" s="6" t="s">
        <v>4385</v>
      </c>
      <c r="C1617" s="6" t="s">
        <v>12</v>
      </c>
      <c r="D1617" s="6" t="s">
        <v>3574</v>
      </c>
      <c r="E1617" s="6" t="s">
        <v>4222</v>
      </c>
      <c r="F1617" s="6" t="s">
        <v>4386</v>
      </c>
      <c r="G1617" s="6" t="s">
        <v>16</v>
      </c>
      <c r="H1617" s="5">
        <v>3</v>
      </c>
      <c r="I1617" s="6" t="s">
        <v>4387</v>
      </c>
      <c r="J1617" s="5">
        <v>780</v>
      </c>
    </row>
    <row r="1618" s="2" customFormat="1" spans="1:10">
      <c r="A1618" s="6">
        <f>1616</f>
        <v>1616</v>
      </c>
      <c r="B1618" s="6" t="s">
        <v>4388</v>
      </c>
      <c r="C1618" s="6" t="s">
        <v>12</v>
      </c>
      <c r="D1618" s="6" t="s">
        <v>3574</v>
      </c>
      <c r="E1618" s="6" t="s">
        <v>4222</v>
      </c>
      <c r="F1618" s="6" t="s">
        <v>4389</v>
      </c>
      <c r="G1618" s="6" t="s">
        <v>16</v>
      </c>
      <c r="H1618" s="5">
        <v>3</v>
      </c>
      <c r="I1618" s="6" t="s">
        <v>4390</v>
      </c>
      <c r="J1618" s="5">
        <v>730</v>
      </c>
    </row>
    <row r="1619" s="2" customFormat="1" spans="1:10">
      <c r="A1619" s="6">
        <f>1617</f>
        <v>1617</v>
      </c>
      <c r="B1619" s="6" t="s">
        <v>4391</v>
      </c>
      <c r="C1619" s="6" t="s">
        <v>12</v>
      </c>
      <c r="D1619" s="6" t="s">
        <v>3574</v>
      </c>
      <c r="E1619" s="6" t="s">
        <v>4222</v>
      </c>
      <c r="F1619" s="6" t="s">
        <v>4392</v>
      </c>
      <c r="G1619" s="6" t="s">
        <v>16</v>
      </c>
      <c r="H1619" s="5">
        <v>1</v>
      </c>
      <c r="I1619" s="6" t="s">
        <v>4392</v>
      </c>
      <c r="J1619" s="5">
        <v>280</v>
      </c>
    </row>
    <row r="1620" s="2" customFormat="1" spans="1:10">
      <c r="A1620" s="6">
        <f>1618</f>
        <v>1618</v>
      </c>
      <c r="B1620" s="6" t="s">
        <v>4393</v>
      </c>
      <c r="C1620" s="6" t="s">
        <v>12</v>
      </c>
      <c r="D1620" s="6" t="s">
        <v>3574</v>
      </c>
      <c r="E1620" s="6" t="s">
        <v>4222</v>
      </c>
      <c r="F1620" s="6" t="s">
        <v>4394</v>
      </c>
      <c r="G1620" s="6" t="s">
        <v>16</v>
      </c>
      <c r="H1620" s="5">
        <v>2</v>
      </c>
      <c r="I1620" s="6" t="s">
        <v>4395</v>
      </c>
      <c r="J1620" s="5">
        <v>980</v>
      </c>
    </row>
    <row r="1621" s="2" customFormat="1" ht="27" spans="1:10">
      <c r="A1621" s="6">
        <f>1619</f>
        <v>1619</v>
      </c>
      <c r="B1621" s="6" t="s">
        <v>4396</v>
      </c>
      <c r="C1621" s="6" t="s">
        <v>12</v>
      </c>
      <c r="D1621" s="6" t="s">
        <v>3574</v>
      </c>
      <c r="E1621" s="6" t="s">
        <v>4222</v>
      </c>
      <c r="F1621" s="6" t="s">
        <v>4397</v>
      </c>
      <c r="G1621" s="6" t="s">
        <v>16</v>
      </c>
      <c r="H1621" s="5">
        <v>6</v>
      </c>
      <c r="I1621" s="6" t="s">
        <v>4398</v>
      </c>
      <c r="J1621" s="5">
        <v>1560</v>
      </c>
    </row>
    <row r="1622" s="2" customFormat="1" spans="1:10">
      <c r="A1622" s="6">
        <f>1620</f>
        <v>1620</v>
      </c>
      <c r="B1622" s="6" t="s">
        <v>4399</v>
      </c>
      <c r="C1622" s="6" t="s">
        <v>12</v>
      </c>
      <c r="D1622" s="6" t="s">
        <v>3574</v>
      </c>
      <c r="E1622" s="6" t="s">
        <v>4222</v>
      </c>
      <c r="F1622" s="6" t="s">
        <v>4400</v>
      </c>
      <c r="G1622" s="6" t="s">
        <v>16</v>
      </c>
      <c r="H1622" s="5">
        <v>1</v>
      </c>
      <c r="I1622" s="6" t="s">
        <v>4400</v>
      </c>
      <c r="J1622" s="5">
        <v>490</v>
      </c>
    </row>
    <row r="1623" s="2" customFormat="1" spans="1:10">
      <c r="A1623" s="6">
        <f>1621</f>
        <v>1621</v>
      </c>
      <c r="B1623" s="6" t="s">
        <v>4401</v>
      </c>
      <c r="C1623" s="6" t="s">
        <v>12</v>
      </c>
      <c r="D1623" s="6" t="s">
        <v>3574</v>
      </c>
      <c r="E1623" s="6" t="s">
        <v>4222</v>
      </c>
      <c r="F1623" s="6" t="s">
        <v>4402</v>
      </c>
      <c r="G1623" s="6" t="s">
        <v>16</v>
      </c>
      <c r="H1623" s="5">
        <v>3</v>
      </c>
      <c r="I1623" s="6" t="s">
        <v>4403</v>
      </c>
      <c r="J1623" s="5">
        <v>600</v>
      </c>
    </row>
    <row r="1624" s="2" customFormat="1" spans="1:10">
      <c r="A1624" s="6">
        <f>1622</f>
        <v>1622</v>
      </c>
      <c r="B1624" s="6" t="s">
        <v>4404</v>
      </c>
      <c r="C1624" s="6" t="s">
        <v>12</v>
      </c>
      <c r="D1624" s="6" t="s">
        <v>3574</v>
      </c>
      <c r="E1624" s="6" t="s">
        <v>4222</v>
      </c>
      <c r="F1624" s="6" t="s">
        <v>4405</v>
      </c>
      <c r="G1624" s="6" t="s">
        <v>16</v>
      </c>
      <c r="H1624" s="5">
        <v>3</v>
      </c>
      <c r="I1624" s="6" t="s">
        <v>4406</v>
      </c>
      <c r="J1624" s="5">
        <v>930</v>
      </c>
    </row>
    <row r="1625" s="2" customFormat="1" spans="1:10">
      <c r="A1625" s="6">
        <f>1623</f>
        <v>1623</v>
      </c>
      <c r="B1625" s="6" t="s">
        <v>4407</v>
      </c>
      <c r="C1625" s="6" t="s">
        <v>12</v>
      </c>
      <c r="D1625" s="6" t="s">
        <v>3574</v>
      </c>
      <c r="E1625" s="6" t="s">
        <v>4222</v>
      </c>
      <c r="F1625" s="6" t="s">
        <v>4408</v>
      </c>
      <c r="G1625" s="6" t="s">
        <v>16</v>
      </c>
      <c r="H1625" s="5">
        <v>2</v>
      </c>
      <c r="I1625" s="6" t="s">
        <v>4409</v>
      </c>
      <c r="J1625" s="5">
        <v>660</v>
      </c>
    </row>
    <row r="1626" s="2" customFormat="1" spans="1:10">
      <c r="A1626" s="6">
        <f>1624</f>
        <v>1624</v>
      </c>
      <c r="B1626" s="6" t="s">
        <v>4410</v>
      </c>
      <c r="C1626" s="6" t="s">
        <v>12</v>
      </c>
      <c r="D1626" s="6" t="s">
        <v>3574</v>
      </c>
      <c r="E1626" s="6" t="s">
        <v>4222</v>
      </c>
      <c r="F1626" s="6" t="s">
        <v>4411</v>
      </c>
      <c r="G1626" s="6" t="s">
        <v>16</v>
      </c>
      <c r="H1626" s="5">
        <v>2</v>
      </c>
      <c r="I1626" s="6" t="s">
        <v>4412</v>
      </c>
      <c r="J1626" s="5">
        <v>420</v>
      </c>
    </row>
    <row r="1627" s="2" customFormat="1" spans="1:10">
      <c r="A1627" s="6">
        <f>1625</f>
        <v>1625</v>
      </c>
      <c r="B1627" s="6" t="s">
        <v>4413</v>
      </c>
      <c r="C1627" s="6" t="s">
        <v>12</v>
      </c>
      <c r="D1627" s="6" t="s">
        <v>3574</v>
      </c>
      <c r="E1627" s="6" t="s">
        <v>4414</v>
      </c>
      <c r="F1627" s="6" t="s">
        <v>4415</v>
      </c>
      <c r="G1627" s="6" t="s">
        <v>16</v>
      </c>
      <c r="H1627" s="5">
        <v>1</v>
      </c>
      <c r="I1627" s="6" t="s">
        <v>4415</v>
      </c>
      <c r="J1627" s="5">
        <v>340</v>
      </c>
    </row>
    <row r="1628" s="2" customFormat="1" spans="1:10">
      <c r="A1628" s="6">
        <f>1626</f>
        <v>1626</v>
      </c>
      <c r="B1628" s="6" t="s">
        <v>4416</v>
      </c>
      <c r="C1628" s="6" t="s">
        <v>12</v>
      </c>
      <c r="D1628" s="6" t="s">
        <v>3574</v>
      </c>
      <c r="E1628" s="6" t="s">
        <v>4414</v>
      </c>
      <c r="F1628" s="6" t="s">
        <v>4417</v>
      </c>
      <c r="G1628" s="6" t="s">
        <v>16</v>
      </c>
      <c r="H1628" s="5">
        <v>1</v>
      </c>
      <c r="I1628" s="6" t="s">
        <v>4417</v>
      </c>
      <c r="J1628" s="5">
        <v>450</v>
      </c>
    </row>
    <row r="1629" s="2" customFormat="1" spans="1:10">
      <c r="A1629" s="6">
        <f>1627</f>
        <v>1627</v>
      </c>
      <c r="B1629" s="6" t="s">
        <v>4418</v>
      </c>
      <c r="C1629" s="6" t="s">
        <v>12</v>
      </c>
      <c r="D1629" s="6" t="s">
        <v>3574</v>
      </c>
      <c r="E1629" s="6" t="s">
        <v>4414</v>
      </c>
      <c r="F1629" s="6" t="s">
        <v>4419</v>
      </c>
      <c r="G1629" s="6" t="s">
        <v>16</v>
      </c>
      <c r="H1629" s="5">
        <v>2</v>
      </c>
      <c r="I1629" s="6" t="s">
        <v>4420</v>
      </c>
      <c r="J1629" s="5">
        <v>840</v>
      </c>
    </row>
    <row r="1630" s="2" customFormat="1" spans="1:10">
      <c r="A1630" s="6">
        <f>1628</f>
        <v>1628</v>
      </c>
      <c r="B1630" s="6" t="s">
        <v>4421</v>
      </c>
      <c r="C1630" s="6" t="s">
        <v>12</v>
      </c>
      <c r="D1630" s="6" t="s">
        <v>3574</v>
      </c>
      <c r="E1630" s="6" t="s">
        <v>4414</v>
      </c>
      <c r="F1630" s="6" t="s">
        <v>4422</v>
      </c>
      <c r="G1630" s="6" t="s">
        <v>16</v>
      </c>
      <c r="H1630" s="5">
        <v>1</v>
      </c>
      <c r="I1630" s="6" t="s">
        <v>4422</v>
      </c>
      <c r="J1630" s="5">
        <v>400</v>
      </c>
    </row>
    <row r="1631" s="2" customFormat="1" ht="27" spans="1:10">
      <c r="A1631" s="6">
        <f>1629</f>
        <v>1629</v>
      </c>
      <c r="B1631" s="6" t="s">
        <v>4423</v>
      </c>
      <c r="C1631" s="6" t="s">
        <v>12</v>
      </c>
      <c r="D1631" s="6" t="s">
        <v>3574</v>
      </c>
      <c r="E1631" s="6" t="s">
        <v>4414</v>
      </c>
      <c r="F1631" s="6" t="s">
        <v>4424</v>
      </c>
      <c r="G1631" s="6" t="s">
        <v>16</v>
      </c>
      <c r="H1631" s="5">
        <v>4</v>
      </c>
      <c r="I1631" s="6" t="s">
        <v>4425</v>
      </c>
      <c r="J1631" s="5">
        <v>1140</v>
      </c>
    </row>
    <row r="1632" s="2" customFormat="1" spans="1:10">
      <c r="A1632" s="6">
        <f>1630</f>
        <v>1630</v>
      </c>
      <c r="B1632" s="6" t="s">
        <v>4426</v>
      </c>
      <c r="C1632" s="6" t="s">
        <v>12</v>
      </c>
      <c r="D1632" s="6" t="s">
        <v>3574</v>
      </c>
      <c r="E1632" s="6" t="s">
        <v>4414</v>
      </c>
      <c r="F1632" s="6" t="s">
        <v>4427</v>
      </c>
      <c r="G1632" s="6" t="s">
        <v>16</v>
      </c>
      <c r="H1632" s="5">
        <v>1</v>
      </c>
      <c r="I1632" s="6" t="s">
        <v>4427</v>
      </c>
      <c r="J1632" s="5">
        <v>360</v>
      </c>
    </row>
    <row r="1633" s="2" customFormat="1" spans="1:10">
      <c r="A1633" s="6">
        <f>1631</f>
        <v>1631</v>
      </c>
      <c r="B1633" s="6" t="s">
        <v>4428</v>
      </c>
      <c r="C1633" s="6" t="s">
        <v>12</v>
      </c>
      <c r="D1633" s="6" t="s">
        <v>3574</v>
      </c>
      <c r="E1633" s="6" t="s">
        <v>4414</v>
      </c>
      <c r="F1633" s="6" t="s">
        <v>4429</v>
      </c>
      <c r="G1633" s="6" t="s">
        <v>16</v>
      </c>
      <c r="H1633" s="5">
        <v>1</v>
      </c>
      <c r="I1633" s="6" t="s">
        <v>4429</v>
      </c>
      <c r="J1633" s="5">
        <v>460</v>
      </c>
    </row>
    <row r="1634" s="2" customFormat="1" spans="1:10">
      <c r="A1634" s="6">
        <f>1632</f>
        <v>1632</v>
      </c>
      <c r="B1634" s="6" t="s">
        <v>4430</v>
      </c>
      <c r="C1634" s="6" t="s">
        <v>12</v>
      </c>
      <c r="D1634" s="6" t="s">
        <v>3574</v>
      </c>
      <c r="E1634" s="6" t="s">
        <v>4414</v>
      </c>
      <c r="F1634" s="6" t="s">
        <v>4431</v>
      </c>
      <c r="G1634" s="6" t="s">
        <v>16</v>
      </c>
      <c r="H1634" s="5">
        <v>1</v>
      </c>
      <c r="I1634" s="6" t="s">
        <v>4431</v>
      </c>
      <c r="J1634" s="5">
        <v>220</v>
      </c>
    </row>
    <row r="1635" s="2" customFormat="1" spans="1:10">
      <c r="A1635" s="6">
        <f>1633</f>
        <v>1633</v>
      </c>
      <c r="B1635" s="6" t="s">
        <v>4432</v>
      </c>
      <c r="C1635" s="6" t="s">
        <v>12</v>
      </c>
      <c r="D1635" s="6" t="s">
        <v>3574</v>
      </c>
      <c r="E1635" s="6" t="s">
        <v>4414</v>
      </c>
      <c r="F1635" s="6" t="s">
        <v>4433</v>
      </c>
      <c r="G1635" s="6" t="s">
        <v>16</v>
      </c>
      <c r="H1635" s="5">
        <v>3</v>
      </c>
      <c r="I1635" s="6" t="s">
        <v>4434</v>
      </c>
      <c r="J1635" s="5">
        <v>1010</v>
      </c>
    </row>
    <row r="1636" s="2" customFormat="1" ht="27" spans="1:10">
      <c r="A1636" s="6">
        <f>1634</f>
        <v>1634</v>
      </c>
      <c r="B1636" s="6" t="s">
        <v>4435</v>
      </c>
      <c r="C1636" s="6" t="s">
        <v>12</v>
      </c>
      <c r="D1636" s="6" t="s">
        <v>3574</v>
      </c>
      <c r="E1636" s="6" t="s">
        <v>4414</v>
      </c>
      <c r="F1636" s="6" t="s">
        <v>4436</v>
      </c>
      <c r="G1636" s="6" t="s">
        <v>16</v>
      </c>
      <c r="H1636" s="5">
        <v>5</v>
      </c>
      <c r="I1636" s="6" t="s">
        <v>4437</v>
      </c>
      <c r="J1636" s="5">
        <v>1050</v>
      </c>
    </row>
    <row r="1637" s="2" customFormat="1" spans="1:10">
      <c r="A1637" s="6">
        <f>1635</f>
        <v>1635</v>
      </c>
      <c r="B1637" s="6" t="s">
        <v>4438</v>
      </c>
      <c r="C1637" s="6" t="s">
        <v>12</v>
      </c>
      <c r="D1637" s="6" t="s">
        <v>3574</v>
      </c>
      <c r="E1637" s="6" t="s">
        <v>4414</v>
      </c>
      <c r="F1637" s="6" t="s">
        <v>4439</v>
      </c>
      <c r="G1637" s="6" t="s">
        <v>16</v>
      </c>
      <c r="H1637" s="5">
        <v>3</v>
      </c>
      <c r="I1637" s="6" t="s">
        <v>4440</v>
      </c>
      <c r="J1637" s="5">
        <v>630</v>
      </c>
    </row>
    <row r="1638" s="2" customFormat="1" spans="1:10">
      <c r="A1638" s="6">
        <f>1636</f>
        <v>1636</v>
      </c>
      <c r="B1638" s="6" t="s">
        <v>4441</v>
      </c>
      <c r="C1638" s="6" t="s">
        <v>12</v>
      </c>
      <c r="D1638" s="6" t="s">
        <v>3574</v>
      </c>
      <c r="E1638" s="6" t="s">
        <v>4414</v>
      </c>
      <c r="F1638" s="6" t="s">
        <v>4442</v>
      </c>
      <c r="G1638" s="6" t="s">
        <v>16</v>
      </c>
      <c r="H1638" s="5">
        <v>2</v>
      </c>
      <c r="I1638" s="6" t="s">
        <v>4443</v>
      </c>
      <c r="J1638" s="5">
        <v>974</v>
      </c>
    </row>
    <row r="1639" s="2" customFormat="1" ht="27" spans="1:10">
      <c r="A1639" s="6">
        <f>1637</f>
        <v>1637</v>
      </c>
      <c r="B1639" s="6" t="s">
        <v>4444</v>
      </c>
      <c r="C1639" s="6" t="s">
        <v>12</v>
      </c>
      <c r="D1639" s="6" t="s">
        <v>3574</v>
      </c>
      <c r="E1639" s="6" t="s">
        <v>4414</v>
      </c>
      <c r="F1639" s="6" t="s">
        <v>4445</v>
      </c>
      <c r="G1639" s="6" t="s">
        <v>16</v>
      </c>
      <c r="H1639" s="5">
        <v>4</v>
      </c>
      <c r="I1639" s="6" t="s">
        <v>4446</v>
      </c>
      <c r="J1639" s="5">
        <v>1660</v>
      </c>
    </row>
    <row r="1640" s="2" customFormat="1" ht="27" spans="1:10">
      <c r="A1640" s="6">
        <f>1638</f>
        <v>1638</v>
      </c>
      <c r="B1640" s="6" t="s">
        <v>4447</v>
      </c>
      <c r="C1640" s="6" t="s">
        <v>12</v>
      </c>
      <c r="D1640" s="6" t="s">
        <v>3574</v>
      </c>
      <c r="E1640" s="6" t="s">
        <v>4414</v>
      </c>
      <c r="F1640" s="6" t="s">
        <v>4448</v>
      </c>
      <c r="G1640" s="6" t="s">
        <v>16</v>
      </c>
      <c r="H1640" s="5">
        <v>4</v>
      </c>
      <c r="I1640" s="6" t="s">
        <v>4449</v>
      </c>
      <c r="J1640" s="5">
        <v>1660</v>
      </c>
    </row>
    <row r="1641" s="2" customFormat="1" spans="1:10">
      <c r="A1641" s="6">
        <f>1639</f>
        <v>1639</v>
      </c>
      <c r="B1641" s="6" t="s">
        <v>4450</v>
      </c>
      <c r="C1641" s="6" t="s">
        <v>12</v>
      </c>
      <c r="D1641" s="6" t="s">
        <v>3574</v>
      </c>
      <c r="E1641" s="6" t="s">
        <v>4414</v>
      </c>
      <c r="F1641" s="6" t="s">
        <v>4451</v>
      </c>
      <c r="G1641" s="6" t="s">
        <v>16</v>
      </c>
      <c r="H1641" s="5">
        <v>3</v>
      </c>
      <c r="I1641" s="6" t="s">
        <v>4452</v>
      </c>
      <c r="J1641" s="5">
        <v>860</v>
      </c>
    </row>
    <row r="1642" s="2" customFormat="1" spans="1:10">
      <c r="A1642" s="6">
        <f>1640</f>
        <v>1640</v>
      </c>
      <c r="B1642" s="6" t="s">
        <v>4453</v>
      </c>
      <c r="C1642" s="6" t="s">
        <v>12</v>
      </c>
      <c r="D1642" s="6" t="s">
        <v>3574</v>
      </c>
      <c r="E1642" s="6" t="s">
        <v>4414</v>
      </c>
      <c r="F1642" s="6" t="s">
        <v>4454</v>
      </c>
      <c r="G1642" s="6" t="s">
        <v>16</v>
      </c>
      <c r="H1642" s="5">
        <v>2</v>
      </c>
      <c r="I1642" s="6" t="s">
        <v>4455</v>
      </c>
      <c r="J1642" s="5">
        <v>880</v>
      </c>
    </row>
    <row r="1643" s="2" customFormat="1" spans="1:10">
      <c r="A1643" s="6">
        <f>1641</f>
        <v>1641</v>
      </c>
      <c r="B1643" s="6" t="s">
        <v>4456</v>
      </c>
      <c r="C1643" s="6" t="s">
        <v>12</v>
      </c>
      <c r="D1643" s="6" t="s">
        <v>3574</v>
      </c>
      <c r="E1643" s="6" t="s">
        <v>4414</v>
      </c>
      <c r="F1643" s="6" t="s">
        <v>4457</v>
      </c>
      <c r="G1643" s="6" t="s">
        <v>16</v>
      </c>
      <c r="H1643" s="5">
        <v>1</v>
      </c>
      <c r="I1643" s="6" t="s">
        <v>4457</v>
      </c>
      <c r="J1643" s="5">
        <v>507</v>
      </c>
    </row>
    <row r="1644" s="2" customFormat="1" spans="1:10">
      <c r="A1644" s="6">
        <f>1642</f>
        <v>1642</v>
      </c>
      <c r="B1644" s="6" t="s">
        <v>4458</v>
      </c>
      <c r="C1644" s="6" t="s">
        <v>12</v>
      </c>
      <c r="D1644" s="6" t="s">
        <v>3574</v>
      </c>
      <c r="E1644" s="6" t="s">
        <v>4414</v>
      </c>
      <c r="F1644" s="6" t="s">
        <v>4459</v>
      </c>
      <c r="G1644" s="6" t="s">
        <v>16</v>
      </c>
      <c r="H1644" s="5">
        <v>1</v>
      </c>
      <c r="I1644" s="6" t="s">
        <v>4459</v>
      </c>
      <c r="J1644" s="5">
        <v>507</v>
      </c>
    </row>
    <row r="1645" s="2" customFormat="1" spans="1:10">
      <c r="A1645" s="6">
        <f>1643</f>
        <v>1643</v>
      </c>
      <c r="B1645" s="6" t="s">
        <v>4460</v>
      </c>
      <c r="C1645" s="6" t="s">
        <v>12</v>
      </c>
      <c r="D1645" s="6" t="s">
        <v>3574</v>
      </c>
      <c r="E1645" s="6" t="s">
        <v>4414</v>
      </c>
      <c r="F1645" s="6" t="s">
        <v>4461</v>
      </c>
      <c r="G1645" s="6" t="s">
        <v>16</v>
      </c>
      <c r="H1645" s="5">
        <v>2</v>
      </c>
      <c r="I1645" s="6" t="s">
        <v>4462</v>
      </c>
      <c r="J1645" s="5">
        <v>700</v>
      </c>
    </row>
    <row r="1646" s="2" customFormat="1" spans="1:10">
      <c r="A1646" s="6">
        <f>1644</f>
        <v>1644</v>
      </c>
      <c r="B1646" s="6" t="s">
        <v>4463</v>
      </c>
      <c r="C1646" s="6" t="s">
        <v>12</v>
      </c>
      <c r="D1646" s="6" t="s">
        <v>3574</v>
      </c>
      <c r="E1646" s="6" t="s">
        <v>4414</v>
      </c>
      <c r="F1646" s="6" t="s">
        <v>4464</v>
      </c>
      <c r="G1646" s="6" t="s">
        <v>16</v>
      </c>
      <c r="H1646" s="5">
        <v>2</v>
      </c>
      <c r="I1646" s="6" t="s">
        <v>4465</v>
      </c>
      <c r="J1646" s="5">
        <v>480</v>
      </c>
    </row>
    <row r="1647" s="2" customFormat="1" spans="1:10">
      <c r="A1647" s="6">
        <f>1645</f>
        <v>1645</v>
      </c>
      <c r="B1647" s="6" t="s">
        <v>4466</v>
      </c>
      <c r="C1647" s="6" t="s">
        <v>12</v>
      </c>
      <c r="D1647" s="6" t="s">
        <v>3574</v>
      </c>
      <c r="E1647" s="6" t="s">
        <v>4414</v>
      </c>
      <c r="F1647" s="6" t="s">
        <v>4467</v>
      </c>
      <c r="G1647" s="6" t="s">
        <v>16</v>
      </c>
      <c r="H1647" s="5">
        <v>3</v>
      </c>
      <c r="I1647" s="6" t="s">
        <v>4468</v>
      </c>
      <c r="J1647" s="5">
        <v>630</v>
      </c>
    </row>
    <row r="1648" s="2" customFormat="1" spans="1:10">
      <c r="A1648" s="6">
        <f>1646</f>
        <v>1646</v>
      </c>
      <c r="B1648" s="6" t="s">
        <v>4469</v>
      </c>
      <c r="C1648" s="6" t="s">
        <v>12</v>
      </c>
      <c r="D1648" s="6" t="s">
        <v>3574</v>
      </c>
      <c r="E1648" s="6" t="s">
        <v>4414</v>
      </c>
      <c r="F1648" s="6" t="s">
        <v>4470</v>
      </c>
      <c r="G1648" s="6" t="s">
        <v>16</v>
      </c>
      <c r="H1648" s="5">
        <v>3</v>
      </c>
      <c r="I1648" s="6" t="s">
        <v>4471</v>
      </c>
      <c r="J1648" s="5">
        <v>700</v>
      </c>
    </row>
    <row r="1649" s="2" customFormat="1" spans="1:10">
      <c r="A1649" s="6">
        <f>1647</f>
        <v>1647</v>
      </c>
      <c r="B1649" s="6" t="s">
        <v>4472</v>
      </c>
      <c r="C1649" s="6" t="s">
        <v>12</v>
      </c>
      <c r="D1649" s="6" t="s">
        <v>3574</v>
      </c>
      <c r="E1649" s="6" t="s">
        <v>4414</v>
      </c>
      <c r="F1649" s="6" t="s">
        <v>4473</v>
      </c>
      <c r="G1649" s="6" t="s">
        <v>16</v>
      </c>
      <c r="H1649" s="5">
        <v>2</v>
      </c>
      <c r="I1649" s="6" t="s">
        <v>4474</v>
      </c>
      <c r="J1649" s="5">
        <v>640</v>
      </c>
    </row>
    <row r="1650" s="2" customFormat="1" spans="1:10">
      <c r="A1650" s="6">
        <f>1648</f>
        <v>1648</v>
      </c>
      <c r="B1650" s="6" t="s">
        <v>4475</v>
      </c>
      <c r="C1650" s="6" t="s">
        <v>12</v>
      </c>
      <c r="D1650" s="6" t="s">
        <v>3574</v>
      </c>
      <c r="E1650" s="6" t="s">
        <v>4414</v>
      </c>
      <c r="F1650" s="6" t="s">
        <v>4476</v>
      </c>
      <c r="G1650" s="6" t="s">
        <v>16</v>
      </c>
      <c r="H1650" s="5">
        <v>1</v>
      </c>
      <c r="I1650" s="6" t="s">
        <v>4476</v>
      </c>
      <c r="J1650" s="5">
        <v>253</v>
      </c>
    </row>
    <row r="1651" s="2" customFormat="1" ht="27" spans="1:10">
      <c r="A1651" s="6">
        <f>1649</f>
        <v>1649</v>
      </c>
      <c r="B1651" s="6" t="s">
        <v>4477</v>
      </c>
      <c r="C1651" s="6" t="s">
        <v>12</v>
      </c>
      <c r="D1651" s="6" t="s">
        <v>3574</v>
      </c>
      <c r="E1651" s="6" t="s">
        <v>4414</v>
      </c>
      <c r="F1651" s="6" t="s">
        <v>4478</v>
      </c>
      <c r="G1651" s="6" t="s">
        <v>16</v>
      </c>
      <c r="H1651" s="5">
        <v>6</v>
      </c>
      <c r="I1651" s="6" t="s">
        <v>4479</v>
      </c>
      <c r="J1651" s="5">
        <v>1640</v>
      </c>
    </row>
    <row r="1652" s="2" customFormat="1" spans="1:10">
      <c r="A1652" s="6">
        <f>1650</f>
        <v>1650</v>
      </c>
      <c r="B1652" s="6" t="s">
        <v>4480</v>
      </c>
      <c r="C1652" s="6" t="s">
        <v>12</v>
      </c>
      <c r="D1652" s="6" t="s">
        <v>3574</v>
      </c>
      <c r="E1652" s="6" t="s">
        <v>4414</v>
      </c>
      <c r="F1652" s="6" t="s">
        <v>4481</v>
      </c>
      <c r="G1652" s="6" t="s">
        <v>16</v>
      </c>
      <c r="H1652" s="5">
        <v>2</v>
      </c>
      <c r="I1652" s="6" t="s">
        <v>4482</v>
      </c>
      <c r="J1652" s="5">
        <v>536</v>
      </c>
    </row>
    <row r="1653" s="2" customFormat="1" spans="1:10">
      <c r="A1653" s="6">
        <f>1651</f>
        <v>1651</v>
      </c>
      <c r="B1653" s="6" t="s">
        <v>4483</v>
      </c>
      <c r="C1653" s="6" t="s">
        <v>12</v>
      </c>
      <c r="D1653" s="6" t="s">
        <v>3574</v>
      </c>
      <c r="E1653" s="6" t="s">
        <v>4414</v>
      </c>
      <c r="F1653" s="6" t="s">
        <v>4484</v>
      </c>
      <c r="G1653" s="6" t="s">
        <v>16</v>
      </c>
      <c r="H1653" s="5">
        <v>1</v>
      </c>
      <c r="I1653" s="6" t="s">
        <v>4484</v>
      </c>
      <c r="J1653" s="5">
        <v>310</v>
      </c>
    </row>
    <row r="1654" s="2" customFormat="1" spans="1:10">
      <c r="A1654" s="6">
        <f>1652</f>
        <v>1652</v>
      </c>
      <c r="B1654" s="6" t="s">
        <v>4485</v>
      </c>
      <c r="C1654" s="6" t="s">
        <v>12</v>
      </c>
      <c r="D1654" s="6" t="s">
        <v>3574</v>
      </c>
      <c r="E1654" s="6" t="s">
        <v>4414</v>
      </c>
      <c r="F1654" s="6" t="s">
        <v>4486</v>
      </c>
      <c r="G1654" s="6" t="s">
        <v>16</v>
      </c>
      <c r="H1654" s="5">
        <v>3</v>
      </c>
      <c r="I1654" s="6" t="s">
        <v>4487</v>
      </c>
      <c r="J1654" s="5">
        <v>990</v>
      </c>
    </row>
    <row r="1655" s="2" customFormat="1" spans="1:10">
      <c r="A1655" s="6">
        <f>1653</f>
        <v>1653</v>
      </c>
      <c r="B1655" s="6" t="s">
        <v>4488</v>
      </c>
      <c r="C1655" s="6" t="s">
        <v>12</v>
      </c>
      <c r="D1655" s="6" t="s">
        <v>3574</v>
      </c>
      <c r="E1655" s="6" t="s">
        <v>4414</v>
      </c>
      <c r="F1655" s="6" t="s">
        <v>4489</v>
      </c>
      <c r="G1655" s="6" t="s">
        <v>16</v>
      </c>
      <c r="H1655" s="5">
        <v>1</v>
      </c>
      <c r="I1655" s="6" t="s">
        <v>4489</v>
      </c>
      <c r="J1655" s="5">
        <v>230</v>
      </c>
    </row>
    <row r="1656" s="2" customFormat="1" spans="1:10">
      <c r="A1656" s="6">
        <f>1654</f>
        <v>1654</v>
      </c>
      <c r="B1656" s="6" t="s">
        <v>4490</v>
      </c>
      <c r="C1656" s="6" t="s">
        <v>12</v>
      </c>
      <c r="D1656" s="6" t="s">
        <v>3574</v>
      </c>
      <c r="E1656" s="6" t="s">
        <v>4414</v>
      </c>
      <c r="F1656" s="6" t="s">
        <v>4491</v>
      </c>
      <c r="G1656" s="6" t="s">
        <v>16</v>
      </c>
      <c r="H1656" s="5">
        <v>1</v>
      </c>
      <c r="I1656" s="6" t="s">
        <v>4491</v>
      </c>
      <c r="J1656" s="5">
        <v>233</v>
      </c>
    </row>
    <row r="1657" s="2" customFormat="1" spans="1:10">
      <c r="A1657" s="6">
        <f>1655</f>
        <v>1655</v>
      </c>
      <c r="B1657" s="6" t="s">
        <v>4492</v>
      </c>
      <c r="C1657" s="6" t="s">
        <v>12</v>
      </c>
      <c r="D1657" s="6" t="s">
        <v>3574</v>
      </c>
      <c r="E1657" s="6" t="s">
        <v>4414</v>
      </c>
      <c r="F1657" s="6" t="s">
        <v>4493</v>
      </c>
      <c r="G1657" s="6" t="s">
        <v>16</v>
      </c>
      <c r="H1657" s="5">
        <v>1</v>
      </c>
      <c r="I1657" s="6" t="s">
        <v>4493</v>
      </c>
      <c r="J1657" s="5">
        <v>260</v>
      </c>
    </row>
    <row r="1658" s="2" customFormat="1" spans="1:10">
      <c r="A1658" s="6">
        <f>1656</f>
        <v>1656</v>
      </c>
      <c r="B1658" s="6" t="s">
        <v>4494</v>
      </c>
      <c r="C1658" s="6" t="s">
        <v>12</v>
      </c>
      <c r="D1658" s="6" t="s">
        <v>3574</v>
      </c>
      <c r="E1658" s="6" t="s">
        <v>4414</v>
      </c>
      <c r="F1658" s="6" t="s">
        <v>4495</v>
      </c>
      <c r="G1658" s="6" t="s">
        <v>16</v>
      </c>
      <c r="H1658" s="5">
        <v>1</v>
      </c>
      <c r="I1658" s="6" t="s">
        <v>4495</v>
      </c>
      <c r="J1658" s="5">
        <v>300</v>
      </c>
    </row>
    <row r="1659" s="2" customFormat="1" ht="27" spans="1:10">
      <c r="A1659" s="6">
        <f>1657</f>
        <v>1657</v>
      </c>
      <c r="B1659" s="6" t="s">
        <v>4496</v>
      </c>
      <c r="C1659" s="6" t="s">
        <v>12</v>
      </c>
      <c r="D1659" s="6" t="s">
        <v>3574</v>
      </c>
      <c r="E1659" s="6" t="s">
        <v>4414</v>
      </c>
      <c r="F1659" s="6" t="s">
        <v>4497</v>
      </c>
      <c r="G1659" s="6" t="s">
        <v>16</v>
      </c>
      <c r="H1659" s="5">
        <v>4</v>
      </c>
      <c r="I1659" s="6" t="s">
        <v>4498</v>
      </c>
      <c r="J1659" s="5">
        <v>413</v>
      </c>
    </row>
    <row r="1660" s="2" customFormat="1" spans="1:10">
      <c r="A1660" s="6">
        <f>1658</f>
        <v>1658</v>
      </c>
      <c r="B1660" s="6" t="s">
        <v>4499</v>
      </c>
      <c r="C1660" s="6" t="s">
        <v>12</v>
      </c>
      <c r="D1660" s="6" t="s">
        <v>3574</v>
      </c>
      <c r="E1660" s="6" t="s">
        <v>4414</v>
      </c>
      <c r="F1660" s="6" t="s">
        <v>4500</v>
      </c>
      <c r="G1660" s="6" t="s">
        <v>16</v>
      </c>
      <c r="H1660" s="5">
        <v>3</v>
      </c>
      <c r="I1660" s="6" t="s">
        <v>4501</v>
      </c>
      <c r="J1660" s="5">
        <v>765</v>
      </c>
    </row>
    <row r="1661" s="2" customFormat="1" spans="1:10">
      <c r="A1661" s="6">
        <f>1659</f>
        <v>1659</v>
      </c>
      <c r="B1661" s="6" t="s">
        <v>4502</v>
      </c>
      <c r="C1661" s="6" t="s">
        <v>12</v>
      </c>
      <c r="D1661" s="6" t="s">
        <v>3574</v>
      </c>
      <c r="E1661" s="6" t="s">
        <v>4414</v>
      </c>
      <c r="F1661" s="6" t="s">
        <v>4503</v>
      </c>
      <c r="G1661" s="6" t="s">
        <v>16</v>
      </c>
      <c r="H1661" s="5">
        <v>2</v>
      </c>
      <c r="I1661" s="6" t="s">
        <v>4504</v>
      </c>
      <c r="J1661" s="5">
        <v>600</v>
      </c>
    </row>
    <row r="1662" s="2" customFormat="1" ht="27" spans="1:10">
      <c r="A1662" s="6">
        <f>1660</f>
        <v>1660</v>
      </c>
      <c r="B1662" s="6" t="s">
        <v>4505</v>
      </c>
      <c r="C1662" s="6" t="s">
        <v>12</v>
      </c>
      <c r="D1662" s="6" t="s">
        <v>3574</v>
      </c>
      <c r="E1662" s="6" t="s">
        <v>4414</v>
      </c>
      <c r="F1662" s="6" t="s">
        <v>4506</v>
      </c>
      <c r="G1662" s="6" t="s">
        <v>16</v>
      </c>
      <c r="H1662" s="5">
        <v>6</v>
      </c>
      <c r="I1662" s="6" t="s">
        <v>4507</v>
      </c>
      <c r="J1662" s="5">
        <v>1115</v>
      </c>
    </row>
    <row r="1663" s="2" customFormat="1" spans="1:10">
      <c r="A1663" s="6">
        <f>1661</f>
        <v>1661</v>
      </c>
      <c r="B1663" s="6" t="s">
        <v>4508</v>
      </c>
      <c r="C1663" s="6" t="s">
        <v>12</v>
      </c>
      <c r="D1663" s="6" t="s">
        <v>3574</v>
      </c>
      <c r="E1663" s="6" t="s">
        <v>4414</v>
      </c>
      <c r="F1663" s="6" t="s">
        <v>4509</v>
      </c>
      <c r="G1663" s="6" t="s">
        <v>16</v>
      </c>
      <c r="H1663" s="5">
        <v>3</v>
      </c>
      <c r="I1663" s="6" t="s">
        <v>4510</v>
      </c>
      <c r="J1663" s="5">
        <v>1460</v>
      </c>
    </row>
    <row r="1664" s="2" customFormat="1" spans="1:10">
      <c r="A1664" s="6">
        <f>1662</f>
        <v>1662</v>
      </c>
      <c r="B1664" s="6" t="s">
        <v>4511</v>
      </c>
      <c r="C1664" s="6" t="s">
        <v>12</v>
      </c>
      <c r="D1664" s="6" t="s">
        <v>3574</v>
      </c>
      <c r="E1664" s="6" t="s">
        <v>4414</v>
      </c>
      <c r="F1664" s="6" t="s">
        <v>4512</v>
      </c>
      <c r="G1664" s="6" t="s">
        <v>16</v>
      </c>
      <c r="H1664" s="5">
        <v>2</v>
      </c>
      <c r="I1664" s="6" t="s">
        <v>4513</v>
      </c>
      <c r="J1664" s="5">
        <v>740</v>
      </c>
    </row>
    <row r="1665" s="2" customFormat="1" spans="1:10">
      <c r="A1665" s="6">
        <f>1663</f>
        <v>1663</v>
      </c>
      <c r="B1665" s="6" t="s">
        <v>4514</v>
      </c>
      <c r="C1665" s="6" t="s">
        <v>12</v>
      </c>
      <c r="D1665" s="6" t="s">
        <v>3574</v>
      </c>
      <c r="E1665" s="6" t="s">
        <v>4414</v>
      </c>
      <c r="F1665" s="6" t="s">
        <v>4515</v>
      </c>
      <c r="G1665" s="6" t="s">
        <v>16</v>
      </c>
      <c r="H1665" s="5">
        <v>1</v>
      </c>
      <c r="I1665" s="6" t="s">
        <v>4515</v>
      </c>
      <c r="J1665" s="5">
        <v>293</v>
      </c>
    </row>
    <row r="1666" s="2" customFormat="1" spans="1:10">
      <c r="A1666" s="6">
        <f>1664</f>
        <v>1664</v>
      </c>
      <c r="B1666" s="6" t="s">
        <v>4516</v>
      </c>
      <c r="C1666" s="6" t="s">
        <v>12</v>
      </c>
      <c r="D1666" s="6" t="s">
        <v>3574</v>
      </c>
      <c r="E1666" s="6" t="s">
        <v>4414</v>
      </c>
      <c r="F1666" s="6" t="s">
        <v>4517</v>
      </c>
      <c r="G1666" s="6" t="s">
        <v>16</v>
      </c>
      <c r="H1666" s="5">
        <v>1</v>
      </c>
      <c r="I1666" s="6" t="s">
        <v>4517</v>
      </c>
      <c r="J1666" s="5">
        <v>230</v>
      </c>
    </row>
    <row r="1667" s="2" customFormat="1" spans="1:10">
      <c r="A1667" s="6">
        <f>1665</f>
        <v>1665</v>
      </c>
      <c r="B1667" s="6" t="s">
        <v>4518</v>
      </c>
      <c r="C1667" s="6" t="s">
        <v>12</v>
      </c>
      <c r="D1667" s="6" t="s">
        <v>3574</v>
      </c>
      <c r="E1667" s="6" t="s">
        <v>4414</v>
      </c>
      <c r="F1667" s="6" t="s">
        <v>4519</v>
      </c>
      <c r="G1667" s="6" t="s">
        <v>16</v>
      </c>
      <c r="H1667" s="5">
        <v>2</v>
      </c>
      <c r="I1667" s="6" t="s">
        <v>4520</v>
      </c>
      <c r="J1667" s="5">
        <v>600</v>
      </c>
    </row>
    <row r="1668" s="2" customFormat="1" spans="1:10">
      <c r="A1668" s="6">
        <f>1666</f>
        <v>1666</v>
      </c>
      <c r="B1668" s="6" t="s">
        <v>4521</v>
      </c>
      <c r="C1668" s="6" t="s">
        <v>12</v>
      </c>
      <c r="D1668" s="6" t="s">
        <v>3574</v>
      </c>
      <c r="E1668" s="6" t="s">
        <v>4414</v>
      </c>
      <c r="F1668" s="6" t="s">
        <v>4522</v>
      </c>
      <c r="G1668" s="6" t="s">
        <v>16</v>
      </c>
      <c r="H1668" s="5">
        <v>2</v>
      </c>
      <c r="I1668" s="6" t="s">
        <v>4523</v>
      </c>
      <c r="J1668" s="5">
        <v>630</v>
      </c>
    </row>
    <row r="1669" s="2" customFormat="1" spans="1:10">
      <c r="A1669" s="6">
        <f>1667</f>
        <v>1667</v>
      </c>
      <c r="B1669" s="6" t="s">
        <v>4524</v>
      </c>
      <c r="C1669" s="6" t="s">
        <v>12</v>
      </c>
      <c r="D1669" s="6" t="s">
        <v>3574</v>
      </c>
      <c r="E1669" s="6" t="s">
        <v>4414</v>
      </c>
      <c r="F1669" s="6" t="s">
        <v>4525</v>
      </c>
      <c r="G1669" s="6" t="s">
        <v>16</v>
      </c>
      <c r="H1669" s="5">
        <v>1</v>
      </c>
      <c r="I1669" s="6" t="s">
        <v>4525</v>
      </c>
      <c r="J1669" s="5">
        <v>335</v>
      </c>
    </row>
    <row r="1670" s="2" customFormat="1" spans="1:10">
      <c r="A1670" s="6">
        <f>1668</f>
        <v>1668</v>
      </c>
      <c r="B1670" s="6" t="s">
        <v>4526</v>
      </c>
      <c r="C1670" s="6" t="s">
        <v>12</v>
      </c>
      <c r="D1670" s="6" t="s">
        <v>3574</v>
      </c>
      <c r="E1670" s="6" t="s">
        <v>4414</v>
      </c>
      <c r="F1670" s="6" t="s">
        <v>4527</v>
      </c>
      <c r="G1670" s="6" t="s">
        <v>16</v>
      </c>
      <c r="H1670" s="5">
        <v>2</v>
      </c>
      <c r="I1670" s="6" t="s">
        <v>4528</v>
      </c>
      <c r="J1670" s="5">
        <v>580</v>
      </c>
    </row>
    <row r="1671" s="2" customFormat="1" spans="1:10">
      <c r="A1671" s="6">
        <f>1669</f>
        <v>1669</v>
      </c>
      <c r="B1671" s="6" t="s">
        <v>4529</v>
      </c>
      <c r="C1671" s="6" t="s">
        <v>12</v>
      </c>
      <c r="D1671" s="6" t="s">
        <v>3574</v>
      </c>
      <c r="E1671" s="6" t="s">
        <v>4414</v>
      </c>
      <c r="F1671" s="6" t="s">
        <v>4530</v>
      </c>
      <c r="G1671" s="6" t="s">
        <v>16</v>
      </c>
      <c r="H1671" s="5">
        <v>3</v>
      </c>
      <c r="I1671" s="6" t="s">
        <v>4531</v>
      </c>
      <c r="J1671" s="5">
        <v>600</v>
      </c>
    </row>
    <row r="1672" s="2" customFormat="1" spans="1:10">
      <c r="A1672" s="6">
        <f>1670</f>
        <v>1670</v>
      </c>
      <c r="B1672" s="6" t="s">
        <v>4532</v>
      </c>
      <c r="C1672" s="6" t="s">
        <v>12</v>
      </c>
      <c r="D1672" s="6" t="s">
        <v>3574</v>
      </c>
      <c r="E1672" s="6" t="s">
        <v>4414</v>
      </c>
      <c r="F1672" s="6" t="s">
        <v>4533</v>
      </c>
      <c r="G1672" s="6" t="s">
        <v>16</v>
      </c>
      <c r="H1672" s="5">
        <v>3</v>
      </c>
      <c r="I1672" s="6" t="s">
        <v>4534</v>
      </c>
      <c r="J1672" s="5">
        <v>428</v>
      </c>
    </row>
    <row r="1673" s="2" customFormat="1" spans="1:10">
      <c r="A1673" s="6">
        <f>1671</f>
        <v>1671</v>
      </c>
      <c r="B1673" s="6" t="s">
        <v>4535</v>
      </c>
      <c r="C1673" s="6" t="s">
        <v>12</v>
      </c>
      <c r="D1673" s="6" t="s">
        <v>3574</v>
      </c>
      <c r="E1673" s="6" t="s">
        <v>4414</v>
      </c>
      <c r="F1673" s="6" t="s">
        <v>4536</v>
      </c>
      <c r="G1673" s="6" t="s">
        <v>16</v>
      </c>
      <c r="H1673" s="5">
        <v>2</v>
      </c>
      <c r="I1673" s="6" t="s">
        <v>4537</v>
      </c>
      <c r="J1673" s="5">
        <v>510</v>
      </c>
    </row>
    <row r="1674" s="2" customFormat="1" spans="1:10">
      <c r="A1674" s="6">
        <f>1672</f>
        <v>1672</v>
      </c>
      <c r="B1674" s="6" t="s">
        <v>4538</v>
      </c>
      <c r="C1674" s="6" t="s">
        <v>12</v>
      </c>
      <c r="D1674" s="6" t="s">
        <v>3574</v>
      </c>
      <c r="E1674" s="6" t="s">
        <v>4414</v>
      </c>
      <c r="F1674" s="6" t="s">
        <v>4539</v>
      </c>
      <c r="G1674" s="6" t="s">
        <v>16</v>
      </c>
      <c r="H1674" s="5">
        <v>2</v>
      </c>
      <c r="I1674" s="6" t="s">
        <v>4540</v>
      </c>
      <c r="J1674" s="5">
        <v>500</v>
      </c>
    </row>
    <row r="1675" s="2" customFormat="1" spans="1:10">
      <c r="A1675" s="6">
        <f>1673</f>
        <v>1673</v>
      </c>
      <c r="B1675" s="6" t="s">
        <v>4541</v>
      </c>
      <c r="C1675" s="6" t="s">
        <v>12</v>
      </c>
      <c r="D1675" s="6" t="s">
        <v>3574</v>
      </c>
      <c r="E1675" s="6" t="s">
        <v>4414</v>
      </c>
      <c r="F1675" s="6" t="s">
        <v>4542</v>
      </c>
      <c r="G1675" s="6" t="s">
        <v>16</v>
      </c>
      <c r="H1675" s="5">
        <v>3</v>
      </c>
      <c r="I1675" s="6" t="s">
        <v>4543</v>
      </c>
      <c r="J1675" s="5">
        <v>760</v>
      </c>
    </row>
    <row r="1676" s="2" customFormat="1" spans="1:10">
      <c r="A1676" s="6">
        <f>1674</f>
        <v>1674</v>
      </c>
      <c r="B1676" s="6" t="s">
        <v>4544</v>
      </c>
      <c r="C1676" s="6" t="s">
        <v>12</v>
      </c>
      <c r="D1676" s="6" t="s">
        <v>3574</v>
      </c>
      <c r="E1676" s="6" t="s">
        <v>4414</v>
      </c>
      <c r="F1676" s="6" t="s">
        <v>4545</v>
      </c>
      <c r="G1676" s="6" t="s">
        <v>16</v>
      </c>
      <c r="H1676" s="5">
        <v>1</v>
      </c>
      <c r="I1676" s="6" t="s">
        <v>4545</v>
      </c>
      <c r="J1676" s="5">
        <v>233</v>
      </c>
    </row>
    <row r="1677" s="2" customFormat="1" spans="1:10">
      <c r="A1677" s="6">
        <f>1675</f>
        <v>1675</v>
      </c>
      <c r="B1677" s="6" t="s">
        <v>4546</v>
      </c>
      <c r="C1677" s="6" t="s">
        <v>12</v>
      </c>
      <c r="D1677" s="6" t="s">
        <v>3574</v>
      </c>
      <c r="E1677" s="6" t="s">
        <v>4414</v>
      </c>
      <c r="F1677" s="6" t="s">
        <v>4547</v>
      </c>
      <c r="G1677" s="6" t="s">
        <v>16</v>
      </c>
      <c r="H1677" s="5">
        <v>1</v>
      </c>
      <c r="I1677" s="6" t="s">
        <v>4547</v>
      </c>
      <c r="J1677" s="5">
        <v>270</v>
      </c>
    </row>
    <row r="1678" s="2" customFormat="1" spans="1:10">
      <c r="A1678" s="6">
        <f>1676</f>
        <v>1676</v>
      </c>
      <c r="B1678" s="6" t="s">
        <v>4548</v>
      </c>
      <c r="C1678" s="6" t="s">
        <v>12</v>
      </c>
      <c r="D1678" s="6" t="s">
        <v>3574</v>
      </c>
      <c r="E1678" s="6" t="s">
        <v>4414</v>
      </c>
      <c r="F1678" s="6" t="s">
        <v>4549</v>
      </c>
      <c r="G1678" s="6" t="s">
        <v>16</v>
      </c>
      <c r="H1678" s="5">
        <v>2</v>
      </c>
      <c r="I1678" s="6" t="s">
        <v>4550</v>
      </c>
      <c r="J1678" s="5">
        <v>566</v>
      </c>
    </row>
    <row r="1679" s="2" customFormat="1" spans="1:10">
      <c r="A1679" s="6">
        <f>1677</f>
        <v>1677</v>
      </c>
      <c r="B1679" s="6" t="s">
        <v>4551</v>
      </c>
      <c r="C1679" s="6" t="s">
        <v>12</v>
      </c>
      <c r="D1679" s="6" t="s">
        <v>3574</v>
      </c>
      <c r="E1679" s="6" t="s">
        <v>4414</v>
      </c>
      <c r="F1679" s="6" t="s">
        <v>4552</v>
      </c>
      <c r="G1679" s="6" t="s">
        <v>16</v>
      </c>
      <c r="H1679" s="5">
        <v>3</v>
      </c>
      <c r="I1679" s="6" t="s">
        <v>4553</v>
      </c>
      <c r="J1679" s="5">
        <v>1200</v>
      </c>
    </row>
    <row r="1680" s="2" customFormat="1" spans="1:10">
      <c r="A1680" s="6">
        <f>1678</f>
        <v>1678</v>
      </c>
      <c r="B1680" s="6" t="s">
        <v>4554</v>
      </c>
      <c r="C1680" s="6" t="s">
        <v>12</v>
      </c>
      <c r="D1680" s="6" t="s">
        <v>3574</v>
      </c>
      <c r="E1680" s="6" t="s">
        <v>4414</v>
      </c>
      <c r="F1680" s="6" t="s">
        <v>4555</v>
      </c>
      <c r="G1680" s="6" t="s">
        <v>16</v>
      </c>
      <c r="H1680" s="5">
        <v>1</v>
      </c>
      <c r="I1680" s="6" t="s">
        <v>4555</v>
      </c>
      <c r="J1680" s="5">
        <v>480</v>
      </c>
    </row>
    <row r="1681" s="2" customFormat="1" ht="27" spans="1:10">
      <c r="A1681" s="6">
        <f>1679</f>
        <v>1679</v>
      </c>
      <c r="B1681" s="6" t="s">
        <v>4556</v>
      </c>
      <c r="C1681" s="6" t="s">
        <v>12</v>
      </c>
      <c r="D1681" s="6" t="s">
        <v>3574</v>
      </c>
      <c r="E1681" s="6" t="s">
        <v>4557</v>
      </c>
      <c r="F1681" s="6" t="s">
        <v>4558</v>
      </c>
      <c r="G1681" s="6" t="s">
        <v>16</v>
      </c>
      <c r="H1681" s="5">
        <v>4</v>
      </c>
      <c r="I1681" s="6" t="s">
        <v>4559</v>
      </c>
      <c r="J1681" s="5">
        <v>640</v>
      </c>
    </row>
    <row r="1682" s="2" customFormat="1" spans="1:10">
      <c r="A1682" s="6">
        <f>1680</f>
        <v>1680</v>
      </c>
      <c r="B1682" s="6" t="s">
        <v>4560</v>
      </c>
      <c r="C1682" s="6" t="s">
        <v>12</v>
      </c>
      <c r="D1682" s="6" t="s">
        <v>3574</v>
      </c>
      <c r="E1682" s="6" t="s">
        <v>4557</v>
      </c>
      <c r="F1682" s="6" t="s">
        <v>4561</v>
      </c>
      <c r="G1682" s="6" t="s">
        <v>16</v>
      </c>
      <c r="H1682" s="5">
        <v>1</v>
      </c>
      <c r="I1682" s="6" t="s">
        <v>4561</v>
      </c>
      <c r="J1682" s="5">
        <v>285</v>
      </c>
    </row>
    <row r="1683" s="2" customFormat="1" spans="1:10">
      <c r="A1683" s="6">
        <f>1681</f>
        <v>1681</v>
      </c>
      <c r="B1683" s="6" t="s">
        <v>4562</v>
      </c>
      <c r="C1683" s="6" t="s">
        <v>12</v>
      </c>
      <c r="D1683" s="6" t="s">
        <v>3574</v>
      </c>
      <c r="E1683" s="6" t="s">
        <v>4557</v>
      </c>
      <c r="F1683" s="6" t="s">
        <v>4563</v>
      </c>
      <c r="G1683" s="6" t="s">
        <v>16</v>
      </c>
      <c r="H1683" s="5">
        <v>2</v>
      </c>
      <c r="I1683" s="6" t="s">
        <v>4564</v>
      </c>
      <c r="J1683" s="5">
        <v>560</v>
      </c>
    </row>
    <row r="1684" s="2" customFormat="1" spans="1:10">
      <c r="A1684" s="6">
        <f>1682</f>
        <v>1682</v>
      </c>
      <c r="B1684" s="6" t="s">
        <v>4565</v>
      </c>
      <c r="C1684" s="6" t="s">
        <v>12</v>
      </c>
      <c r="D1684" s="6" t="s">
        <v>3574</v>
      </c>
      <c r="E1684" s="6" t="s">
        <v>4557</v>
      </c>
      <c r="F1684" s="6" t="s">
        <v>4566</v>
      </c>
      <c r="G1684" s="6" t="s">
        <v>16</v>
      </c>
      <c r="H1684" s="5">
        <v>2</v>
      </c>
      <c r="I1684" s="6" t="s">
        <v>4567</v>
      </c>
      <c r="J1684" s="5">
        <v>1080</v>
      </c>
    </row>
    <row r="1685" s="2" customFormat="1" spans="1:10">
      <c r="A1685" s="6">
        <f>1683</f>
        <v>1683</v>
      </c>
      <c r="B1685" s="6" t="s">
        <v>4568</v>
      </c>
      <c r="C1685" s="6" t="s">
        <v>12</v>
      </c>
      <c r="D1685" s="6" t="s">
        <v>3574</v>
      </c>
      <c r="E1685" s="6" t="s">
        <v>4557</v>
      </c>
      <c r="F1685" s="6" t="s">
        <v>4569</v>
      </c>
      <c r="G1685" s="6" t="s">
        <v>16</v>
      </c>
      <c r="H1685" s="5">
        <v>1</v>
      </c>
      <c r="I1685" s="6" t="s">
        <v>4569</v>
      </c>
      <c r="J1685" s="5">
        <v>490</v>
      </c>
    </row>
    <row r="1686" s="2" customFormat="1" spans="1:10">
      <c r="A1686" s="6">
        <f>1684</f>
        <v>1684</v>
      </c>
      <c r="B1686" s="6" t="s">
        <v>4570</v>
      </c>
      <c r="C1686" s="6" t="s">
        <v>12</v>
      </c>
      <c r="D1686" s="6" t="s">
        <v>3574</v>
      </c>
      <c r="E1686" s="6" t="s">
        <v>4557</v>
      </c>
      <c r="F1686" s="6" t="s">
        <v>4571</v>
      </c>
      <c r="G1686" s="6" t="s">
        <v>16</v>
      </c>
      <c r="H1686" s="5">
        <v>2</v>
      </c>
      <c r="I1686" s="6" t="s">
        <v>4572</v>
      </c>
      <c r="J1686" s="5">
        <v>920</v>
      </c>
    </row>
    <row r="1687" s="2" customFormat="1" spans="1:10">
      <c r="A1687" s="6">
        <f>1685</f>
        <v>1685</v>
      </c>
      <c r="B1687" s="6" t="s">
        <v>4573</v>
      </c>
      <c r="C1687" s="6" t="s">
        <v>12</v>
      </c>
      <c r="D1687" s="6" t="s">
        <v>3574</v>
      </c>
      <c r="E1687" s="6" t="s">
        <v>4557</v>
      </c>
      <c r="F1687" s="6" t="s">
        <v>4574</v>
      </c>
      <c r="G1687" s="6" t="s">
        <v>16</v>
      </c>
      <c r="H1687" s="5">
        <v>2</v>
      </c>
      <c r="I1687" s="6" t="s">
        <v>4575</v>
      </c>
      <c r="J1687" s="5">
        <v>820</v>
      </c>
    </row>
    <row r="1688" s="2" customFormat="1" spans="1:10">
      <c r="A1688" s="6">
        <f>1686</f>
        <v>1686</v>
      </c>
      <c r="B1688" s="6" t="s">
        <v>4576</v>
      </c>
      <c r="C1688" s="6" t="s">
        <v>12</v>
      </c>
      <c r="D1688" s="6" t="s">
        <v>3574</v>
      </c>
      <c r="E1688" s="6" t="s">
        <v>4557</v>
      </c>
      <c r="F1688" s="6" t="s">
        <v>4577</v>
      </c>
      <c r="G1688" s="6" t="s">
        <v>16</v>
      </c>
      <c r="H1688" s="5">
        <v>1</v>
      </c>
      <c r="I1688" s="6" t="s">
        <v>4577</v>
      </c>
      <c r="J1688" s="5">
        <v>410</v>
      </c>
    </row>
    <row r="1689" s="2" customFormat="1" spans="1:10">
      <c r="A1689" s="6">
        <f>1687</f>
        <v>1687</v>
      </c>
      <c r="B1689" s="6" t="s">
        <v>4578</v>
      </c>
      <c r="C1689" s="6" t="s">
        <v>12</v>
      </c>
      <c r="D1689" s="6" t="s">
        <v>3574</v>
      </c>
      <c r="E1689" s="6" t="s">
        <v>4557</v>
      </c>
      <c r="F1689" s="6" t="s">
        <v>4579</v>
      </c>
      <c r="G1689" s="6" t="s">
        <v>16</v>
      </c>
      <c r="H1689" s="5">
        <v>2</v>
      </c>
      <c r="I1689" s="6" t="s">
        <v>4580</v>
      </c>
      <c r="J1689" s="5">
        <v>820</v>
      </c>
    </row>
    <row r="1690" s="2" customFormat="1" spans="1:10">
      <c r="A1690" s="6">
        <f>1688</f>
        <v>1688</v>
      </c>
      <c r="B1690" s="6" t="s">
        <v>4581</v>
      </c>
      <c r="C1690" s="6" t="s">
        <v>12</v>
      </c>
      <c r="D1690" s="6" t="s">
        <v>3574</v>
      </c>
      <c r="E1690" s="6" t="s">
        <v>4557</v>
      </c>
      <c r="F1690" s="6" t="s">
        <v>4582</v>
      </c>
      <c r="G1690" s="6" t="s">
        <v>16</v>
      </c>
      <c r="H1690" s="5">
        <v>3</v>
      </c>
      <c r="I1690" s="6" t="s">
        <v>4583</v>
      </c>
      <c r="J1690" s="5">
        <v>780</v>
      </c>
    </row>
    <row r="1691" s="2" customFormat="1" spans="1:10">
      <c r="A1691" s="6">
        <f>1689</f>
        <v>1689</v>
      </c>
      <c r="B1691" s="6" t="s">
        <v>4584</v>
      </c>
      <c r="C1691" s="6" t="s">
        <v>12</v>
      </c>
      <c r="D1691" s="6" t="s">
        <v>3574</v>
      </c>
      <c r="E1691" s="6" t="s">
        <v>4557</v>
      </c>
      <c r="F1691" s="6" t="s">
        <v>4585</v>
      </c>
      <c r="G1691" s="6" t="s">
        <v>16</v>
      </c>
      <c r="H1691" s="5">
        <v>1</v>
      </c>
      <c r="I1691" s="6" t="s">
        <v>4585</v>
      </c>
      <c r="J1691" s="5">
        <v>460</v>
      </c>
    </row>
    <row r="1692" s="2" customFormat="1" spans="1:10">
      <c r="A1692" s="6">
        <f>1690</f>
        <v>1690</v>
      </c>
      <c r="B1692" s="6" t="s">
        <v>4586</v>
      </c>
      <c r="C1692" s="6" t="s">
        <v>12</v>
      </c>
      <c r="D1692" s="6" t="s">
        <v>3574</v>
      </c>
      <c r="E1692" s="6" t="s">
        <v>4557</v>
      </c>
      <c r="F1692" s="6" t="s">
        <v>4587</v>
      </c>
      <c r="G1692" s="6" t="s">
        <v>16</v>
      </c>
      <c r="H1692" s="5">
        <v>1</v>
      </c>
      <c r="I1692" s="6" t="s">
        <v>4587</v>
      </c>
      <c r="J1692" s="5">
        <v>500</v>
      </c>
    </row>
    <row r="1693" s="2" customFormat="1" spans="1:10">
      <c r="A1693" s="6">
        <f>1691</f>
        <v>1691</v>
      </c>
      <c r="B1693" s="6" t="s">
        <v>4588</v>
      </c>
      <c r="C1693" s="6" t="s">
        <v>12</v>
      </c>
      <c r="D1693" s="6" t="s">
        <v>3574</v>
      </c>
      <c r="E1693" s="6" t="s">
        <v>4557</v>
      </c>
      <c r="F1693" s="6" t="s">
        <v>4589</v>
      </c>
      <c r="G1693" s="6" t="s">
        <v>16</v>
      </c>
      <c r="H1693" s="5">
        <v>1</v>
      </c>
      <c r="I1693" s="6" t="s">
        <v>4589</v>
      </c>
      <c r="J1693" s="5">
        <v>263</v>
      </c>
    </row>
    <row r="1694" s="2" customFormat="1" ht="27" spans="1:10">
      <c r="A1694" s="6">
        <f>1692</f>
        <v>1692</v>
      </c>
      <c r="B1694" s="6" t="s">
        <v>4590</v>
      </c>
      <c r="C1694" s="6" t="s">
        <v>12</v>
      </c>
      <c r="D1694" s="6" t="s">
        <v>3574</v>
      </c>
      <c r="E1694" s="6" t="s">
        <v>4557</v>
      </c>
      <c r="F1694" s="6" t="s">
        <v>4591</v>
      </c>
      <c r="G1694" s="6" t="s">
        <v>16</v>
      </c>
      <c r="H1694" s="5">
        <v>4</v>
      </c>
      <c r="I1694" s="6" t="s">
        <v>4592</v>
      </c>
      <c r="J1694" s="5">
        <v>756</v>
      </c>
    </row>
    <row r="1695" s="2" customFormat="1" ht="27" spans="1:10">
      <c r="A1695" s="6">
        <f>1693</f>
        <v>1693</v>
      </c>
      <c r="B1695" s="6" t="s">
        <v>4593</v>
      </c>
      <c r="C1695" s="6" t="s">
        <v>12</v>
      </c>
      <c r="D1695" s="6" t="s">
        <v>3574</v>
      </c>
      <c r="E1695" s="6" t="s">
        <v>4557</v>
      </c>
      <c r="F1695" s="6" t="s">
        <v>4594</v>
      </c>
      <c r="G1695" s="6" t="s">
        <v>16</v>
      </c>
      <c r="H1695" s="5">
        <v>4</v>
      </c>
      <c r="I1695" s="6" t="s">
        <v>4595</v>
      </c>
      <c r="J1695" s="5">
        <v>1240</v>
      </c>
    </row>
    <row r="1696" s="2" customFormat="1" spans="1:10">
      <c r="A1696" s="6">
        <f>1694</f>
        <v>1694</v>
      </c>
      <c r="B1696" s="6" t="s">
        <v>4596</v>
      </c>
      <c r="C1696" s="6" t="s">
        <v>12</v>
      </c>
      <c r="D1696" s="6" t="s">
        <v>3574</v>
      </c>
      <c r="E1696" s="6" t="s">
        <v>4557</v>
      </c>
      <c r="F1696" s="6" t="s">
        <v>4597</v>
      </c>
      <c r="G1696" s="6" t="s">
        <v>16</v>
      </c>
      <c r="H1696" s="5">
        <v>3</v>
      </c>
      <c r="I1696" s="6" t="s">
        <v>4598</v>
      </c>
      <c r="J1696" s="5">
        <v>759</v>
      </c>
    </row>
    <row r="1697" s="2" customFormat="1" spans="1:10">
      <c r="A1697" s="6">
        <f>1695</f>
        <v>1695</v>
      </c>
      <c r="B1697" s="6" t="s">
        <v>4599</v>
      </c>
      <c r="C1697" s="6" t="s">
        <v>12</v>
      </c>
      <c r="D1697" s="6" t="s">
        <v>3574</v>
      </c>
      <c r="E1697" s="6" t="s">
        <v>4557</v>
      </c>
      <c r="F1697" s="6" t="s">
        <v>4600</v>
      </c>
      <c r="G1697" s="6" t="s">
        <v>16</v>
      </c>
      <c r="H1697" s="5">
        <v>2</v>
      </c>
      <c r="I1697" s="6" t="s">
        <v>4601</v>
      </c>
      <c r="J1697" s="5">
        <v>500</v>
      </c>
    </row>
    <row r="1698" s="2" customFormat="1" spans="1:10">
      <c r="A1698" s="6">
        <f>1696</f>
        <v>1696</v>
      </c>
      <c r="B1698" s="6" t="s">
        <v>4602</v>
      </c>
      <c r="C1698" s="6" t="s">
        <v>12</v>
      </c>
      <c r="D1698" s="6" t="s">
        <v>3574</v>
      </c>
      <c r="E1698" s="6" t="s">
        <v>4557</v>
      </c>
      <c r="F1698" s="6" t="s">
        <v>4603</v>
      </c>
      <c r="G1698" s="6" t="s">
        <v>16</v>
      </c>
      <c r="H1698" s="5">
        <v>3</v>
      </c>
      <c r="I1698" s="6" t="s">
        <v>4604</v>
      </c>
      <c r="J1698" s="5">
        <v>810</v>
      </c>
    </row>
    <row r="1699" s="2" customFormat="1" spans="1:10">
      <c r="A1699" s="6">
        <f>1697</f>
        <v>1697</v>
      </c>
      <c r="B1699" s="6" t="s">
        <v>4605</v>
      </c>
      <c r="C1699" s="6" t="s">
        <v>12</v>
      </c>
      <c r="D1699" s="6" t="s">
        <v>3574</v>
      </c>
      <c r="E1699" s="6" t="s">
        <v>4557</v>
      </c>
      <c r="F1699" s="6" t="s">
        <v>4606</v>
      </c>
      <c r="G1699" s="6" t="s">
        <v>16</v>
      </c>
      <c r="H1699" s="5">
        <v>3</v>
      </c>
      <c r="I1699" s="6" t="s">
        <v>4607</v>
      </c>
      <c r="J1699" s="5">
        <v>1320</v>
      </c>
    </row>
    <row r="1700" s="2" customFormat="1" spans="1:10">
      <c r="A1700" s="6">
        <f>1698</f>
        <v>1698</v>
      </c>
      <c r="B1700" s="6" t="s">
        <v>4608</v>
      </c>
      <c r="C1700" s="6" t="s">
        <v>12</v>
      </c>
      <c r="D1700" s="6" t="s">
        <v>3574</v>
      </c>
      <c r="E1700" s="6" t="s">
        <v>4557</v>
      </c>
      <c r="F1700" s="6" t="s">
        <v>4609</v>
      </c>
      <c r="G1700" s="6" t="s">
        <v>16</v>
      </c>
      <c r="H1700" s="5">
        <v>3</v>
      </c>
      <c r="I1700" s="6" t="s">
        <v>4610</v>
      </c>
      <c r="J1700" s="5">
        <v>666</v>
      </c>
    </row>
    <row r="1701" s="2" customFormat="1" spans="1:10">
      <c r="A1701" s="6">
        <f>1699</f>
        <v>1699</v>
      </c>
      <c r="B1701" s="6" t="s">
        <v>4611</v>
      </c>
      <c r="C1701" s="6" t="s">
        <v>12</v>
      </c>
      <c r="D1701" s="6" t="s">
        <v>3574</v>
      </c>
      <c r="E1701" s="6" t="s">
        <v>4557</v>
      </c>
      <c r="F1701" s="6" t="s">
        <v>4612</v>
      </c>
      <c r="G1701" s="6" t="s">
        <v>16</v>
      </c>
      <c r="H1701" s="5">
        <v>3</v>
      </c>
      <c r="I1701" s="6" t="s">
        <v>4613</v>
      </c>
      <c r="J1701" s="5">
        <v>770</v>
      </c>
    </row>
    <row r="1702" s="2" customFormat="1" spans="1:10">
      <c r="A1702" s="6">
        <f>1700</f>
        <v>1700</v>
      </c>
      <c r="B1702" s="6" t="s">
        <v>4614</v>
      </c>
      <c r="C1702" s="6" t="s">
        <v>12</v>
      </c>
      <c r="D1702" s="6" t="s">
        <v>3574</v>
      </c>
      <c r="E1702" s="6" t="s">
        <v>4557</v>
      </c>
      <c r="F1702" s="6" t="s">
        <v>4615</v>
      </c>
      <c r="G1702" s="6" t="s">
        <v>16</v>
      </c>
      <c r="H1702" s="5">
        <v>1</v>
      </c>
      <c r="I1702" s="6" t="s">
        <v>4615</v>
      </c>
      <c r="J1702" s="5">
        <v>300</v>
      </c>
    </row>
    <row r="1703" s="2" customFormat="1" spans="1:10">
      <c r="A1703" s="6">
        <f>1701</f>
        <v>1701</v>
      </c>
      <c r="B1703" s="6" t="s">
        <v>4616</v>
      </c>
      <c r="C1703" s="6" t="s">
        <v>12</v>
      </c>
      <c r="D1703" s="6" t="s">
        <v>3574</v>
      </c>
      <c r="E1703" s="6" t="s">
        <v>4557</v>
      </c>
      <c r="F1703" s="6" t="s">
        <v>4617</v>
      </c>
      <c r="G1703" s="6" t="s">
        <v>16</v>
      </c>
      <c r="H1703" s="5">
        <v>3</v>
      </c>
      <c r="I1703" s="6" t="s">
        <v>4618</v>
      </c>
      <c r="J1703" s="5">
        <v>630</v>
      </c>
    </row>
    <row r="1704" s="2" customFormat="1" spans="1:10">
      <c r="A1704" s="6">
        <f>1702</f>
        <v>1702</v>
      </c>
      <c r="B1704" s="6" t="s">
        <v>4619</v>
      </c>
      <c r="C1704" s="6" t="s">
        <v>12</v>
      </c>
      <c r="D1704" s="6" t="s">
        <v>3574</v>
      </c>
      <c r="E1704" s="6" t="s">
        <v>4557</v>
      </c>
      <c r="F1704" s="6" t="s">
        <v>4620</v>
      </c>
      <c r="G1704" s="6" t="s">
        <v>16</v>
      </c>
      <c r="H1704" s="5">
        <v>1</v>
      </c>
      <c r="I1704" s="6" t="s">
        <v>4620</v>
      </c>
      <c r="J1704" s="5">
        <v>360</v>
      </c>
    </row>
    <row r="1705" s="2" customFormat="1" ht="27" spans="1:10">
      <c r="A1705" s="6">
        <f>1703</f>
        <v>1703</v>
      </c>
      <c r="B1705" s="6" t="s">
        <v>4621</v>
      </c>
      <c r="C1705" s="6" t="s">
        <v>12</v>
      </c>
      <c r="D1705" s="6" t="s">
        <v>3574</v>
      </c>
      <c r="E1705" s="6" t="s">
        <v>4557</v>
      </c>
      <c r="F1705" s="6" t="s">
        <v>4622</v>
      </c>
      <c r="G1705" s="6" t="s">
        <v>16</v>
      </c>
      <c r="H1705" s="5">
        <v>4</v>
      </c>
      <c r="I1705" s="6" t="s">
        <v>4623</v>
      </c>
      <c r="J1705" s="5">
        <v>588</v>
      </c>
    </row>
    <row r="1706" s="2" customFormat="1" spans="1:10">
      <c r="A1706" s="6">
        <f>1704</f>
        <v>1704</v>
      </c>
      <c r="B1706" s="6" t="s">
        <v>4624</v>
      </c>
      <c r="C1706" s="6" t="s">
        <v>12</v>
      </c>
      <c r="D1706" s="6" t="s">
        <v>3574</v>
      </c>
      <c r="E1706" s="6" t="s">
        <v>4557</v>
      </c>
      <c r="F1706" s="6" t="s">
        <v>4625</v>
      </c>
      <c r="G1706" s="6" t="s">
        <v>16</v>
      </c>
      <c r="H1706" s="5">
        <v>1</v>
      </c>
      <c r="I1706" s="6" t="s">
        <v>4625</v>
      </c>
      <c r="J1706" s="5">
        <v>270</v>
      </c>
    </row>
    <row r="1707" s="2" customFormat="1" spans="1:10">
      <c r="A1707" s="6">
        <f>1705</f>
        <v>1705</v>
      </c>
      <c r="B1707" s="6" t="s">
        <v>4626</v>
      </c>
      <c r="C1707" s="6" t="s">
        <v>12</v>
      </c>
      <c r="D1707" s="6" t="s">
        <v>3574</v>
      </c>
      <c r="E1707" s="6" t="s">
        <v>4557</v>
      </c>
      <c r="F1707" s="6" t="s">
        <v>4627</v>
      </c>
      <c r="G1707" s="6" t="s">
        <v>16</v>
      </c>
      <c r="H1707" s="5">
        <v>1</v>
      </c>
      <c r="I1707" s="6" t="s">
        <v>4627</v>
      </c>
      <c r="J1707" s="5">
        <v>320</v>
      </c>
    </row>
    <row r="1708" s="2" customFormat="1" spans="1:10">
      <c r="A1708" s="6">
        <f>1706</f>
        <v>1706</v>
      </c>
      <c r="B1708" s="6" t="s">
        <v>4628</v>
      </c>
      <c r="C1708" s="6" t="s">
        <v>12</v>
      </c>
      <c r="D1708" s="6" t="s">
        <v>3574</v>
      </c>
      <c r="E1708" s="6" t="s">
        <v>4557</v>
      </c>
      <c r="F1708" s="6" t="s">
        <v>4629</v>
      </c>
      <c r="G1708" s="6" t="s">
        <v>16</v>
      </c>
      <c r="H1708" s="5">
        <v>1</v>
      </c>
      <c r="I1708" s="6" t="s">
        <v>4629</v>
      </c>
      <c r="J1708" s="5">
        <v>403</v>
      </c>
    </row>
    <row r="1709" s="2" customFormat="1" spans="1:10">
      <c r="A1709" s="6">
        <f>1707</f>
        <v>1707</v>
      </c>
      <c r="B1709" s="6" t="s">
        <v>4630</v>
      </c>
      <c r="C1709" s="6" t="s">
        <v>12</v>
      </c>
      <c r="D1709" s="6" t="s">
        <v>3574</v>
      </c>
      <c r="E1709" s="6" t="s">
        <v>4557</v>
      </c>
      <c r="F1709" s="6" t="s">
        <v>4631</v>
      </c>
      <c r="G1709" s="6" t="s">
        <v>16</v>
      </c>
      <c r="H1709" s="5">
        <v>2</v>
      </c>
      <c r="I1709" s="6" t="s">
        <v>4632</v>
      </c>
      <c r="J1709" s="5">
        <v>980</v>
      </c>
    </row>
    <row r="1710" s="2" customFormat="1" ht="27" spans="1:10">
      <c r="A1710" s="6">
        <f>1708</f>
        <v>1708</v>
      </c>
      <c r="B1710" s="6" t="s">
        <v>4633</v>
      </c>
      <c r="C1710" s="6" t="s">
        <v>12</v>
      </c>
      <c r="D1710" s="6" t="s">
        <v>3574</v>
      </c>
      <c r="E1710" s="6" t="s">
        <v>4557</v>
      </c>
      <c r="F1710" s="6" t="s">
        <v>4634</v>
      </c>
      <c r="G1710" s="6" t="s">
        <v>16</v>
      </c>
      <c r="H1710" s="5">
        <v>4</v>
      </c>
      <c r="I1710" s="6" t="s">
        <v>4635</v>
      </c>
      <c r="J1710" s="5">
        <v>488</v>
      </c>
    </row>
    <row r="1711" s="2" customFormat="1" spans="1:10">
      <c r="A1711" s="6">
        <f>1709</f>
        <v>1709</v>
      </c>
      <c r="B1711" s="6" t="s">
        <v>4636</v>
      </c>
      <c r="C1711" s="6" t="s">
        <v>12</v>
      </c>
      <c r="D1711" s="6" t="s">
        <v>3574</v>
      </c>
      <c r="E1711" s="6" t="s">
        <v>4557</v>
      </c>
      <c r="F1711" s="6" t="s">
        <v>4637</v>
      </c>
      <c r="G1711" s="6" t="s">
        <v>16</v>
      </c>
      <c r="H1711" s="5">
        <v>1</v>
      </c>
      <c r="I1711" s="6" t="s">
        <v>4637</v>
      </c>
      <c r="J1711" s="5">
        <v>233</v>
      </c>
    </row>
    <row r="1712" s="2" customFormat="1" ht="27" spans="1:10">
      <c r="A1712" s="6">
        <f>1710</f>
        <v>1710</v>
      </c>
      <c r="B1712" s="6" t="s">
        <v>4638</v>
      </c>
      <c r="C1712" s="6" t="s">
        <v>12</v>
      </c>
      <c r="D1712" s="6" t="s">
        <v>3574</v>
      </c>
      <c r="E1712" s="6" t="s">
        <v>4557</v>
      </c>
      <c r="F1712" s="6" t="s">
        <v>4639</v>
      </c>
      <c r="G1712" s="6" t="s">
        <v>16</v>
      </c>
      <c r="H1712" s="5">
        <v>4</v>
      </c>
      <c r="I1712" s="6" t="s">
        <v>4640</v>
      </c>
      <c r="J1712" s="5">
        <v>860</v>
      </c>
    </row>
    <row r="1713" s="2" customFormat="1" spans="1:10">
      <c r="A1713" s="6">
        <f>1711</f>
        <v>1711</v>
      </c>
      <c r="B1713" s="6" t="s">
        <v>4641</v>
      </c>
      <c r="C1713" s="6" t="s">
        <v>12</v>
      </c>
      <c r="D1713" s="6" t="s">
        <v>3574</v>
      </c>
      <c r="E1713" s="6" t="s">
        <v>4557</v>
      </c>
      <c r="F1713" s="6" t="s">
        <v>4642</v>
      </c>
      <c r="G1713" s="6" t="s">
        <v>16</v>
      </c>
      <c r="H1713" s="5">
        <v>2</v>
      </c>
      <c r="I1713" s="6" t="s">
        <v>4643</v>
      </c>
      <c r="J1713" s="5">
        <v>542</v>
      </c>
    </row>
    <row r="1714" s="2" customFormat="1" ht="27" spans="1:10">
      <c r="A1714" s="6">
        <f>1712</f>
        <v>1712</v>
      </c>
      <c r="B1714" s="6" t="s">
        <v>4644</v>
      </c>
      <c r="C1714" s="6" t="s">
        <v>12</v>
      </c>
      <c r="D1714" s="6" t="s">
        <v>3574</v>
      </c>
      <c r="E1714" s="6" t="s">
        <v>4557</v>
      </c>
      <c r="F1714" s="6" t="s">
        <v>4645</v>
      </c>
      <c r="G1714" s="6" t="s">
        <v>16</v>
      </c>
      <c r="H1714" s="5">
        <v>4</v>
      </c>
      <c r="I1714" s="6" t="s">
        <v>4646</v>
      </c>
      <c r="J1714" s="5">
        <v>1560</v>
      </c>
    </row>
    <row r="1715" s="2" customFormat="1" spans="1:10">
      <c r="A1715" s="6">
        <f>1713</f>
        <v>1713</v>
      </c>
      <c r="B1715" s="6" t="s">
        <v>4647</v>
      </c>
      <c r="C1715" s="6" t="s">
        <v>12</v>
      </c>
      <c r="D1715" s="6" t="s">
        <v>3574</v>
      </c>
      <c r="E1715" s="6" t="s">
        <v>4557</v>
      </c>
      <c r="F1715" s="6" t="s">
        <v>4648</v>
      </c>
      <c r="G1715" s="6" t="s">
        <v>16</v>
      </c>
      <c r="H1715" s="5">
        <v>3</v>
      </c>
      <c r="I1715" s="6" t="s">
        <v>4649</v>
      </c>
      <c r="J1715" s="5">
        <v>1000</v>
      </c>
    </row>
    <row r="1716" s="2" customFormat="1" spans="1:10">
      <c r="A1716" s="6">
        <f>1714</f>
        <v>1714</v>
      </c>
      <c r="B1716" s="6" t="s">
        <v>4650</v>
      </c>
      <c r="C1716" s="6" t="s">
        <v>12</v>
      </c>
      <c r="D1716" s="6" t="s">
        <v>3574</v>
      </c>
      <c r="E1716" s="6" t="s">
        <v>4557</v>
      </c>
      <c r="F1716" s="6" t="s">
        <v>4651</v>
      </c>
      <c r="G1716" s="6" t="s">
        <v>16</v>
      </c>
      <c r="H1716" s="5">
        <v>2</v>
      </c>
      <c r="I1716" s="6" t="s">
        <v>4652</v>
      </c>
      <c r="J1716" s="5">
        <v>460</v>
      </c>
    </row>
    <row r="1717" s="2" customFormat="1" ht="27" spans="1:10">
      <c r="A1717" s="6">
        <f>1715</f>
        <v>1715</v>
      </c>
      <c r="B1717" s="6" t="s">
        <v>4653</v>
      </c>
      <c r="C1717" s="6" t="s">
        <v>12</v>
      </c>
      <c r="D1717" s="6" t="s">
        <v>3574</v>
      </c>
      <c r="E1717" s="6" t="s">
        <v>4557</v>
      </c>
      <c r="F1717" s="6" t="s">
        <v>4654</v>
      </c>
      <c r="G1717" s="6" t="s">
        <v>16</v>
      </c>
      <c r="H1717" s="5">
        <v>4</v>
      </c>
      <c r="I1717" s="6" t="s">
        <v>4655</v>
      </c>
      <c r="J1717" s="5">
        <v>960</v>
      </c>
    </row>
    <row r="1718" s="2" customFormat="1" spans="1:10">
      <c r="A1718" s="6">
        <f>1716</f>
        <v>1716</v>
      </c>
      <c r="B1718" s="6" t="s">
        <v>4656</v>
      </c>
      <c r="C1718" s="6" t="s">
        <v>12</v>
      </c>
      <c r="D1718" s="6" t="s">
        <v>3574</v>
      </c>
      <c r="E1718" s="6" t="s">
        <v>4557</v>
      </c>
      <c r="F1718" s="6" t="s">
        <v>4657</v>
      </c>
      <c r="G1718" s="6" t="s">
        <v>16</v>
      </c>
      <c r="H1718" s="5">
        <v>1</v>
      </c>
      <c r="I1718" s="6" t="s">
        <v>4657</v>
      </c>
      <c r="J1718" s="5">
        <v>270</v>
      </c>
    </row>
    <row r="1719" s="2" customFormat="1" ht="27" spans="1:10">
      <c r="A1719" s="6">
        <f>1717</f>
        <v>1717</v>
      </c>
      <c r="B1719" s="6" t="s">
        <v>4658</v>
      </c>
      <c r="C1719" s="6" t="s">
        <v>12</v>
      </c>
      <c r="D1719" s="6" t="s">
        <v>3574</v>
      </c>
      <c r="E1719" s="6" t="s">
        <v>4557</v>
      </c>
      <c r="F1719" s="6" t="s">
        <v>4659</v>
      </c>
      <c r="G1719" s="6" t="s">
        <v>16</v>
      </c>
      <c r="H1719" s="5">
        <v>5</v>
      </c>
      <c r="I1719" s="6" t="s">
        <v>4660</v>
      </c>
      <c r="J1719" s="5">
        <v>1270</v>
      </c>
    </row>
    <row r="1720" s="2" customFormat="1" ht="27" spans="1:10">
      <c r="A1720" s="6">
        <f>1718</f>
        <v>1718</v>
      </c>
      <c r="B1720" s="6" t="s">
        <v>4661</v>
      </c>
      <c r="C1720" s="6" t="s">
        <v>12</v>
      </c>
      <c r="D1720" s="6" t="s">
        <v>3574</v>
      </c>
      <c r="E1720" s="6" t="s">
        <v>4557</v>
      </c>
      <c r="F1720" s="6" t="s">
        <v>4662</v>
      </c>
      <c r="G1720" s="6" t="s">
        <v>16</v>
      </c>
      <c r="H1720" s="5">
        <v>5</v>
      </c>
      <c r="I1720" s="6" t="s">
        <v>4663</v>
      </c>
      <c r="J1720" s="5">
        <v>1215</v>
      </c>
    </row>
    <row r="1721" s="2" customFormat="1" ht="27" spans="1:10">
      <c r="A1721" s="6">
        <f>1719</f>
        <v>1719</v>
      </c>
      <c r="B1721" s="6" t="s">
        <v>4664</v>
      </c>
      <c r="C1721" s="6" t="s">
        <v>12</v>
      </c>
      <c r="D1721" s="6" t="s">
        <v>3574</v>
      </c>
      <c r="E1721" s="6" t="s">
        <v>4557</v>
      </c>
      <c r="F1721" s="6" t="s">
        <v>4665</v>
      </c>
      <c r="G1721" s="6" t="s">
        <v>16</v>
      </c>
      <c r="H1721" s="5">
        <v>4</v>
      </c>
      <c r="I1721" s="6" t="s">
        <v>4666</v>
      </c>
      <c r="J1721" s="5">
        <v>628</v>
      </c>
    </row>
    <row r="1722" s="2" customFormat="1" spans="1:10">
      <c r="A1722" s="6">
        <f>1720</f>
        <v>1720</v>
      </c>
      <c r="B1722" s="6" t="s">
        <v>4667</v>
      </c>
      <c r="C1722" s="6" t="s">
        <v>12</v>
      </c>
      <c r="D1722" s="6" t="s">
        <v>3574</v>
      </c>
      <c r="E1722" s="6" t="s">
        <v>4557</v>
      </c>
      <c r="F1722" s="6" t="s">
        <v>3929</v>
      </c>
      <c r="G1722" s="6" t="s">
        <v>16</v>
      </c>
      <c r="H1722" s="5">
        <v>2</v>
      </c>
      <c r="I1722" s="6" t="s">
        <v>4668</v>
      </c>
      <c r="J1722" s="5">
        <v>460</v>
      </c>
    </row>
    <row r="1723" s="2" customFormat="1" spans="1:10">
      <c r="A1723" s="6">
        <f>1721</f>
        <v>1721</v>
      </c>
      <c r="B1723" s="6" t="s">
        <v>4669</v>
      </c>
      <c r="C1723" s="6" t="s">
        <v>12</v>
      </c>
      <c r="D1723" s="6" t="s">
        <v>3574</v>
      </c>
      <c r="E1723" s="6" t="s">
        <v>4557</v>
      </c>
      <c r="F1723" s="6" t="s">
        <v>4670</v>
      </c>
      <c r="G1723" s="6" t="s">
        <v>16</v>
      </c>
      <c r="H1723" s="5">
        <v>2</v>
      </c>
      <c r="I1723" s="6" t="s">
        <v>4671</v>
      </c>
      <c r="J1723" s="5">
        <v>293</v>
      </c>
    </row>
    <row r="1724" s="2" customFormat="1" spans="1:10">
      <c r="A1724" s="6">
        <f>1722</f>
        <v>1722</v>
      </c>
      <c r="B1724" s="6" t="s">
        <v>4672</v>
      </c>
      <c r="C1724" s="6" t="s">
        <v>12</v>
      </c>
      <c r="D1724" s="6" t="s">
        <v>3574</v>
      </c>
      <c r="E1724" s="6" t="s">
        <v>4557</v>
      </c>
      <c r="F1724" s="6" t="s">
        <v>4673</v>
      </c>
      <c r="G1724" s="6" t="s">
        <v>16</v>
      </c>
      <c r="H1724" s="5">
        <v>1</v>
      </c>
      <c r="I1724" s="6" t="s">
        <v>4673</v>
      </c>
      <c r="J1724" s="5">
        <v>230</v>
      </c>
    </row>
    <row r="1725" s="2" customFormat="1" spans="1:10">
      <c r="A1725" s="6">
        <f>1723</f>
        <v>1723</v>
      </c>
      <c r="B1725" s="6" t="s">
        <v>4674</v>
      </c>
      <c r="C1725" s="6" t="s">
        <v>12</v>
      </c>
      <c r="D1725" s="6" t="s">
        <v>3574</v>
      </c>
      <c r="E1725" s="6" t="s">
        <v>4557</v>
      </c>
      <c r="F1725" s="6" t="s">
        <v>4675</v>
      </c>
      <c r="G1725" s="6" t="s">
        <v>16</v>
      </c>
      <c r="H1725" s="5">
        <v>1</v>
      </c>
      <c r="I1725" s="6" t="s">
        <v>4675</v>
      </c>
      <c r="J1725" s="5">
        <v>330</v>
      </c>
    </row>
    <row r="1726" s="2" customFormat="1" spans="1:10">
      <c r="A1726" s="6">
        <f>1724</f>
        <v>1724</v>
      </c>
      <c r="B1726" s="6" t="s">
        <v>4676</v>
      </c>
      <c r="C1726" s="6" t="s">
        <v>12</v>
      </c>
      <c r="D1726" s="6" t="s">
        <v>3574</v>
      </c>
      <c r="E1726" s="6" t="s">
        <v>4557</v>
      </c>
      <c r="F1726" s="6" t="s">
        <v>4677</v>
      </c>
      <c r="G1726" s="6" t="s">
        <v>16</v>
      </c>
      <c r="H1726" s="5">
        <v>1</v>
      </c>
      <c r="I1726" s="6" t="s">
        <v>4677</v>
      </c>
      <c r="J1726" s="5">
        <v>233</v>
      </c>
    </row>
    <row r="1727" s="2" customFormat="1" spans="1:10">
      <c r="A1727" s="6">
        <f>1725</f>
        <v>1725</v>
      </c>
      <c r="B1727" s="6" t="s">
        <v>4678</v>
      </c>
      <c r="C1727" s="6" t="s">
        <v>12</v>
      </c>
      <c r="D1727" s="6" t="s">
        <v>3574</v>
      </c>
      <c r="E1727" s="6" t="s">
        <v>4557</v>
      </c>
      <c r="F1727" s="6" t="s">
        <v>4679</v>
      </c>
      <c r="G1727" s="6" t="s">
        <v>16</v>
      </c>
      <c r="H1727" s="5">
        <v>1</v>
      </c>
      <c r="I1727" s="6" t="s">
        <v>4679</v>
      </c>
      <c r="J1727" s="5">
        <v>240</v>
      </c>
    </row>
    <row r="1728" s="2" customFormat="1" spans="1:10">
      <c r="A1728" s="6">
        <f>1726</f>
        <v>1726</v>
      </c>
      <c r="B1728" s="6" t="s">
        <v>4680</v>
      </c>
      <c r="C1728" s="6" t="s">
        <v>12</v>
      </c>
      <c r="D1728" s="6" t="s">
        <v>3574</v>
      </c>
      <c r="E1728" s="6" t="s">
        <v>4557</v>
      </c>
      <c r="F1728" s="6" t="s">
        <v>4681</v>
      </c>
      <c r="G1728" s="6" t="s">
        <v>16</v>
      </c>
      <c r="H1728" s="5">
        <v>1</v>
      </c>
      <c r="I1728" s="6" t="s">
        <v>4681</v>
      </c>
      <c r="J1728" s="5">
        <v>250</v>
      </c>
    </row>
    <row r="1729" s="2" customFormat="1" spans="1:10">
      <c r="A1729" s="6">
        <f>1727</f>
        <v>1727</v>
      </c>
      <c r="B1729" s="6" t="s">
        <v>4682</v>
      </c>
      <c r="C1729" s="6" t="s">
        <v>12</v>
      </c>
      <c r="D1729" s="6" t="s">
        <v>3574</v>
      </c>
      <c r="E1729" s="6" t="s">
        <v>4557</v>
      </c>
      <c r="F1729" s="6" t="s">
        <v>1968</v>
      </c>
      <c r="G1729" s="6" t="s">
        <v>16</v>
      </c>
      <c r="H1729" s="5">
        <v>1</v>
      </c>
      <c r="I1729" s="6" t="s">
        <v>1968</v>
      </c>
      <c r="J1729" s="5">
        <v>253</v>
      </c>
    </row>
    <row r="1730" s="2" customFormat="1" spans="1:10">
      <c r="A1730" s="6">
        <f>1728</f>
        <v>1728</v>
      </c>
      <c r="B1730" s="6" t="s">
        <v>4683</v>
      </c>
      <c r="C1730" s="6" t="s">
        <v>12</v>
      </c>
      <c r="D1730" s="6" t="s">
        <v>3574</v>
      </c>
      <c r="E1730" s="6" t="s">
        <v>4557</v>
      </c>
      <c r="F1730" s="6" t="s">
        <v>4684</v>
      </c>
      <c r="G1730" s="6" t="s">
        <v>16</v>
      </c>
      <c r="H1730" s="5">
        <v>3</v>
      </c>
      <c r="I1730" s="6" t="s">
        <v>4685</v>
      </c>
      <c r="J1730" s="5">
        <v>720</v>
      </c>
    </row>
    <row r="1731" s="2" customFormat="1" spans="1:10">
      <c r="A1731" s="6">
        <f>1729</f>
        <v>1729</v>
      </c>
      <c r="B1731" s="6" t="s">
        <v>4686</v>
      </c>
      <c r="C1731" s="6" t="s">
        <v>12</v>
      </c>
      <c r="D1731" s="6" t="s">
        <v>3574</v>
      </c>
      <c r="E1731" s="6" t="s">
        <v>4557</v>
      </c>
      <c r="F1731" s="6" t="s">
        <v>4687</v>
      </c>
      <c r="G1731" s="6" t="s">
        <v>16</v>
      </c>
      <c r="H1731" s="5">
        <v>2</v>
      </c>
      <c r="I1731" s="6" t="s">
        <v>4688</v>
      </c>
      <c r="J1731" s="5">
        <v>460</v>
      </c>
    </row>
    <row r="1732" s="2" customFormat="1" spans="1:10">
      <c r="A1732" s="6">
        <f>1730</f>
        <v>1730</v>
      </c>
      <c r="B1732" s="6" t="s">
        <v>4689</v>
      </c>
      <c r="C1732" s="6" t="s">
        <v>12</v>
      </c>
      <c r="D1732" s="6" t="s">
        <v>3574</v>
      </c>
      <c r="E1732" s="6" t="s">
        <v>4557</v>
      </c>
      <c r="F1732" s="6" t="s">
        <v>4690</v>
      </c>
      <c r="G1732" s="6" t="s">
        <v>16</v>
      </c>
      <c r="H1732" s="5">
        <v>1</v>
      </c>
      <c r="I1732" s="6" t="s">
        <v>4690</v>
      </c>
      <c r="J1732" s="5">
        <v>320</v>
      </c>
    </row>
    <row r="1733" s="2" customFormat="1" spans="1:10">
      <c r="A1733" s="6">
        <f>1731</f>
        <v>1731</v>
      </c>
      <c r="B1733" s="6" t="s">
        <v>4691</v>
      </c>
      <c r="C1733" s="6" t="s">
        <v>12</v>
      </c>
      <c r="D1733" s="6" t="s">
        <v>3574</v>
      </c>
      <c r="E1733" s="6" t="s">
        <v>4557</v>
      </c>
      <c r="F1733" s="6" t="s">
        <v>4692</v>
      </c>
      <c r="G1733" s="6" t="s">
        <v>16</v>
      </c>
      <c r="H1733" s="5">
        <v>1</v>
      </c>
      <c r="I1733" s="6" t="s">
        <v>4692</v>
      </c>
      <c r="J1733" s="5">
        <v>280</v>
      </c>
    </row>
    <row r="1734" s="2" customFormat="1" spans="1:10">
      <c r="A1734" s="6">
        <f>1732</f>
        <v>1732</v>
      </c>
      <c r="B1734" s="6" t="s">
        <v>4693</v>
      </c>
      <c r="C1734" s="6" t="s">
        <v>12</v>
      </c>
      <c r="D1734" s="6" t="s">
        <v>3574</v>
      </c>
      <c r="E1734" s="6" t="s">
        <v>4557</v>
      </c>
      <c r="F1734" s="6" t="s">
        <v>4694</v>
      </c>
      <c r="G1734" s="6" t="s">
        <v>16</v>
      </c>
      <c r="H1734" s="5">
        <v>1</v>
      </c>
      <c r="I1734" s="6" t="s">
        <v>4694</v>
      </c>
      <c r="J1734" s="5">
        <v>308</v>
      </c>
    </row>
    <row r="1735" s="2" customFormat="1" spans="1:10">
      <c r="A1735" s="6">
        <f>1733</f>
        <v>1733</v>
      </c>
      <c r="B1735" s="6" t="s">
        <v>4695</v>
      </c>
      <c r="C1735" s="6" t="s">
        <v>12</v>
      </c>
      <c r="D1735" s="6" t="s">
        <v>3574</v>
      </c>
      <c r="E1735" s="6" t="s">
        <v>4696</v>
      </c>
      <c r="F1735" s="6" t="s">
        <v>4697</v>
      </c>
      <c r="G1735" s="6" t="s">
        <v>16</v>
      </c>
      <c r="H1735" s="5">
        <v>1</v>
      </c>
      <c r="I1735" s="6" t="s">
        <v>4697</v>
      </c>
      <c r="J1735" s="5">
        <v>420</v>
      </c>
    </row>
    <row r="1736" s="2" customFormat="1" spans="1:10">
      <c r="A1736" s="6">
        <f>1734</f>
        <v>1734</v>
      </c>
      <c r="B1736" s="6" t="s">
        <v>4698</v>
      </c>
      <c r="C1736" s="6" t="s">
        <v>12</v>
      </c>
      <c r="D1736" s="6" t="s">
        <v>3574</v>
      </c>
      <c r="E1736" s="6" t="s">
        <v>4696</v>
      </c>
      <c r="F1736" s="6" t="s">
        <v>4699</v>
      </c>
      <c r="G1736" s="6" t="s">
        <v>16</v>
      </c>
      <c r="H1736" s="5">
        <v>2</v>
      </c>
      <c r="I1736" s="6" t="s">
        <v>4700</v>
      </c>
      <c r="J1736" s="5">
        <v>600</v>
      </c>
    </row>
    <row r="1737" s="2" customFormat="1" spans="1:10">
      <c r="A1737" s="6">
        <f>1735</f>
        <v>1735</v>
      </c>
      <c r="B1737" s="6" t="s">
        <v>4701</v>
      </c>
      <c r="C1737" s="6" t="s">
        <v>12</v>
      </c>
      <c r="D1737" s="6" t="s">
        <v>3574</v>
      </c>
      <c r="E1737" s="6" t="s">
        <v>4696</v>
      </c>
      <c r="F1737" s="6" t="s">
        <v>4702</v>
      </c>
      <c r="G1737" s="6" t="s">
        <v>16</v>
      </c>
      <c r="H1737" s="5">
        <v>1</v>
      </c>
      <c r="I1737" s="6" t="s">
        <v>4702</v>
      </c>
      <c r="J1737" s="5">
        <v>530</v>
      </c>
    </row>
    <row r="1738" s="2" customFormat="1" spans="1:10">
      <c r="A1738" s="6">
        <f>1736</f>
        <v>1736</v>
      </c>
      <c r="B1738" s="6" t="s">
        <v>4703</v>
      </c>
      <c r="C1738" s="6" t="s">
        <v>12</v>
      </c>
      <c r="D1738" s="6" t="s">
        <v>3574</v>
      </c>
      <c r="E1738" s="6" t="s">
        <v>4696</v>
      </c>
      <c r="F1738" s="6" t="s">
        <v>4704</v>
      </c>
      <c r="G1738" s="6" t="s">
        <v>16</v>
      </c>
      <c r="H1738" s="5">
        <v>1</v>
      </c>
      <c r="I1738" s="6" t="s">
        <v>4704</v>
      </c>
      <c r="J1738" s="5">
        <v>280</v>
      </c>
    </row>
    <row r="1739" s="2" customFormat="1" spans="1:10">
      <c r="A1739" s="6">
        <f>1737</f>
        <v>1737</v>
      </c>
      <c r="B1739" s="6" t="s">
        <v>4705</v>
      </c>
      <c r="C1739" s="6" t="s">
        <v>12</v>
      </c>
      <c r="D1739" s="6" t="s">
        <v>3574</v>
      </c>
      <c r="E1739" s="6" t="s">
        <v>4696</v>
      </c>
      <c r="F1739" s="6" t="s">
        <v>4706</v>
      </c>
      <c r="G1739" s="6" t="s">
        <v>16</v>
      </c>
      <c r="H1739" s="5">
        <v>2</v>
      </c>
      <c r="I1739" s="6" t="s">
        <v>4707</v>
      </c>
      <c r="J1739" s="5">
        <v>780</v>
      </c>
    </row>
    <row r="1740" s="2" customFormat="1" spans="1:10">
      <c r="A1740" s="6">
        <f>1738</f>
        <v>1738</v>
      </c>
      <c r="B1740" s="6" t="s">
        <v>4708</v>
      </c>
      <c r="C1740" s="6" t="s">
        <v>12</v>
      </c>
      <c r="D1740" s="6" t="s">
        <v>3574</v>
      </c>
      <c r="E1740" s="6" t="s">
        <v>4696</v>
      </c>
      <c r="F1740" s="6" t="s">
        <v>4709</v>
      </c>
      <c r="G1740" s="6" t="s">
        <v>16</v>
      </c>
      <c r="H1740" s="5">
        <v>1</v>
      </c>
      <c r="I1740" s="6" t="s">
        <v>4709</v>
      </c>
      <c r="J1740" s="5">
        <v>460</v>
      </c>
    </row>
    <row r="1741" s="2" customFormat="1" spans="1:10">
      <c r="A1741" s="6">
        <f>1739</f>
        <v>1739</v>
      </c>
      <c r="B1741" s="6" t="s">
        <v>4710</v>
      </c>
      <c r="C1741" s="6" t="s">
        <v>12</v>
      </c>
      <c r="D1741" s="6" t="s">
        <v>3574</v>
      </c>
      <c r="E1741" s="6" t="s">
        <v>4696</v>
      </c>
      <c r="F1741" s="6" t="s">
        <v>4711</v>
      </c>
      <c r="G1741" s="6" t="s">
        <v>16</v>
      </c>
      <c r="H1741" s="5">
        <v>2</v>
      </c>
      <c r="I1741" s="6" t="s">
        <v>4712</v>
      </c>
      <c r="J1741" s="5">
        <v>580</v>
      </c>
    </row>
    <row r="1742" s="2" customFormat="1" ht="27" spans="1:10">
      <c r="A1742" s="6">
        <f>1740</f>
        <v>1740</v>
      </c>
      <c r="B1742" s="6" t="s">
        <v>4713</v>
      </c>
      <c r="C1742" s="6" t="s">
        <v>12</v>
      </c>
      <c r="D1742" s="6" t="s">
        <v>3574</v>
      </c>
      <c r="E1742" s="6" t="s">
        <v>4696</v>
      </c>
      <c r="F1742" s="6" t="s">
        <v>4714</v>
      </c>
      <c r="G1742" s="6" t="s">
        <v>16</v>
      </c>
      <c r="H1742" s="5">
        <v>4</v>
      </c>
      <c r="I1742" s="6" t="s">
        <v>4715</v>
      </c>
      <c r="J1742" s="5">
        <v>1440</v>
      </c>
    </row>
    <row r="1743" s="2" customFormat="1" spans="1:10">
      <c r="A1743" s="6">
        <f>1741</f>
        <v>1741</v>
      </c>
      <c r="B1743" s="6" t="s">
        <v>4716</v>
      </c>
      <c r="C1743" s="6" t="s">
        <v>12</v>
      </c>
      <c r="D1743" s="6" t="s">
        <v>3574</v>
      </c>
      <c r="E1743" s="6" t="s">
        <v>4696</v>
      </c>
      <c r="F1743" s="6" t="s">
        <v>4717</v>
      </c>
      <c r="G1743" s="6" t="s">
        <v>16</v>
      </c>
      <c r="H1743" s="5">
        <v>1</v>
      </c>
      <c r="I1743" s="6" t="s">
        <v>4717</v>
      </c>
      <c r="J1743" s="5">
        <v>460</v>
      </c>
    </row>
    <row r="1744" s="2" customFormat="1" spans="1:10">
      <c r="A1744" s="6">
        <f>1742</f>
        <v>1742</v>
      </c>
      <c r="B1744" s="6" t="s">
        <v>4718</v>
      </c>
      <c r="C1744" s="6" t="s">
        <v>12</v>
      </c>
      <c r="D1744" s="6" t="s">
        <v>3574</v>
      </c>
      <c r="E1744" s="6" t="s">
        <v>4696</v>
      </c>
      <c r="F1744" s="6" t="s">
        <v>4719</v>
      </c>
      <c r="G1744" s="6" t="s">
        <v>16</v>
      </c>
      <c r="H1744" s="5">
        <v>3</v>
      </c>
      <c r="I1744" s="6" t="s">
        <v>4720</v>
      </c>
      <c r="J1744" s="5">
        <v>1080</v>
      </c>
    </row>
    <row r="1745" s="2" customFormat="1" spans="1:10">
      <c r="A1745" s="6">
        <f>1743</f>
        <v>1743</v>
      </c>
      <c r="B1745" s="6" t="s">
        <v>4721</v>
      </c>
      <c r="C1745" s="6" t="s">
        <v>12</v>
      </c>
      <c r="D1745" s="6" t="s">
        <v>3574</v>
      </c>
      <c r="E1745" s="6" t="s">
        <v>4696</v>
      </c>
      <c r="F1745" s="6" t="s">
        <v>4722</v>
      </c>
      <c r="G1745" s="6" t="s">
        <v>16</v>
      </c>
      <c r="H1745" s="5">
        <v>1</v>
      </c>
      <c r="I1745" s="6" t="s">
        <v>4722</v>
      </c>
      <c r="J1745" s="5">
        <v>370</v>
      </c>
    </row>
    <row r="1746" s="2" customFormat="1" spans="1:10">
      <c r="A1746" s="6">
        <f>1744</f>
        <v>1744</v>
      </c>
      <c r="B1746" s="6" t="s">
        <v>4723</v>
      </c>
      <c r="C1746" s="6" t="s">
        <v>12</v>
      </c>
      <c r="D1746" s="6" t="s">
        <v>3574</v>
      </c>
      <c r="E1746" s="6" t="s">
        <v>4696</v>
      </c>
      <c r="F1746" s="6" t="s">
        <v>4724</v>
      </c>
      <c r="G1746" s="6" t="s">
        <v>16</v>
      </c>
      <c r="H1746" s="5">
        <v>3</v>
      </c>
      <c r="I1746" s="6" t="s">
        <v>4725</v>
      </c>
      <c r="J1746" s="5">
        <v>690</v>
      </c>
    </row>
    <row r="1747" s="2" customFormat="1" spans="1:10">
      <c r="A1747" s="6">
        <f>1745</f>
        <v>1745</v>
      </c>
      <c r="B1747" s="6" t="s">
        <v>4726</v>
      </c>
      <c r="C1747" s="6" t="s">
        <v>12</v>
      </c>
      <c r="D1747" s="6" t="s">
        <v>3574</v>
      </c>
      <c r="E1747" s="6" t="s">
        <v>4696</v>
      </c>
      <c r="F1747" s="6" t="s">
        <v>4727</v>
      </c>
      <c r="G1747" s="6" t="s">
        <v>16</v>
      </c>
      <c r="H1747" s="5">
        <v>2</v>
      </c>
      <c r="I1747" s="6" t="s">
        <v>4728</v>
      </c>
      <c r="J1747" s="5">
        <v>1000</v>
      </c>
    </row>
    <row r="1748" s="2" customFormat="1" spans="1:10">
      <c r="A1748" s="6">
        <f>1746</f>
        <v>1746</v>
      </c>
      <c r="B1748" s="6" t="s">
        <v>4729</v>
      </c>
      <c r="C1748" s="6" t="s">
        <v>12</v>
      </c>
      <c r="D1748" s="6" t="s">
        <v>3574</v>
      </c>
      <c r="E1748" s="6" t="s">
        <v>4696</v>
      </c>
      <c r="F1748" s="6" t="s">
        <v>4730</v>
      </c>
      <c r="G1748" s="6" t="s">
        <v>16</v>
      </c>
      <c r="H1748" s="5">
        <v>3</v>
      </c>
      <c r="I1748" s="6" t="s">
        <v>4731</v>
      </c>
      <c r="J1748" s="5">
        <v>1320</v>
      </c>
    </row>
    <row r="1749" s="2" customFormat="1" ht="27" spans="1:10">
      <c r="A1749" s="6">
        <f>1747</f>
        <v>1747</v>
      </c>
      <c r="B1749" s="6" t="s">
        <v>4732</v>
      </c>
      <c r="C1749" s="6" t="s">
        <v>12</v>
      </c>
      <c r="D1749" s="6" t="s">
        <v>3574</v>
      </c>
      <c r="E1749" s="6" t="s">
        <v>4696</v>
      </c>
      <c r="F1749" s="6" t="s">
        <v>4733</v>
      </c>
      <c r="G1749" s="6" t="s">
        <v>16</v>
      </c>
      <c r="H1749" s="5">
        <v>5</v>
      </c>
      <c r="I1749" s="6" t="s">
        <v>4734</v>
      </c>
      <c r="J1749" s="5">
        <v>2000</v>
      </c>
    </row>
    <row r="1750" s="2" customFormat="1" spans="1:10">
      <c r="A1750" s="6">
        <f>1748</f>
        <v>1748</v>
      </c>
      <c r="B1750" s="6" t="s">
        <v>4735</v>
      </c>
      <c r="C1750" s="6" t="s">
        <v>12</v>
      </c>
      <c r="D1750" s="6" t="s">
        <v>3574</v>
      </c>
      <c r="E1750" s="6" t="s">
        <v>4696</v>
      </c>
      <c r="F1750" s="6" t="s">
        <v>4736</v>
      </c>
      <c r="G1750" s="6" t="s">
        <v>16</v>
      </c>
      <c r="H1750" s="5">
        <v>2</v>
      </c>
      <c r="I1750" s="6" t="s">
        <v>4737</v>
      </c>
      <c r="J1750" s="5">
        <v>680</v>
      </c>
    </row>
    <row r="1751" s="2" customFormat="1" spans="1:10">
      <c r="A1751" s="6">
        <f>1749</f>
        <v>1749</v>
      </c>
      <c r="B1751" s="6" t="s">
        <v>4738</v>
      </c>
      <c r="C1751" s="6" t="s">
        <v>12</v>
      </c>
      <c r="D1751" s="6" t="s">
        <v>3574</v>
      </c>
      <c r="E1751" s="6" t="s">
        <v>4696</v>
      </c>
      <c r="F1751" s="6" t="s">
        <v>4739</v>
      </c>
      <c r="G1751" s="6" t="s">
        <v>16</v>
      </c>
      <c r="H1751" s="5">
        <v>3</v>
      </c>
      <c r="I1751" s="6" t="s">
        <v>4740</v>
      </c>
      <c r="J1751" s="5">
        <v>1320</v>
      </c>
    </row>
    <row r="1752" s="2" customFormat="1" spans="1:10">
      <c r="A1752" s="6">
        <f>1750</f>
        <v>1750</v>
      </c>
      <c r="B1752" s="6" t="s">
        <v>4741</v>
      </c>
      <c r="C1752" s="6" t="s">
        <v>12</v>
      </c>
      <c r="D1752" s="6" t="s">
        <v>3574</v>
      </c>
      <c r="E1752" s="6" t="s">
        <v>4696</v>
      </c>
      <c r="F1752" s="6" t="s">
        <v>4742</v>
      </c>
      <c r="G1752" s="6" t="s">
        <v>16</v>
      </c>
      <c r="H1752" s="5">
        <v>1</v>
      </c>
      <c r="I1752" s="6" t="s">
        <v>4742</v>
      </c>
      <c r="J1752" s="5">
        <v>490</v>
      </c>
    </row>
    <row r="1753" s="2" customFormat="1" ht="27" spans="1:10">
      <c r="A1753" s="6">
        <f>1751</f>
        <v>1751</v>
      </c>
      <c r="B1753" s="6" t="s">
        <v>4743</v>
      </c>
      <c r="C1753" s="6" t="s">
        <v>12</v>
      </c>
      <c r="D1753" s="6" t="s">
        <v>3574</v>
      </c>
      <c r="E1753" s="6" t="s">
        <v>4696</v>
      </c>
      <c r="F1753" s="6" t="s">
        <v>4744</v>
      </c>
      <c r="G1753" s="6" t="s">
        <v>16</v>
      </c>
      <c r="H1753" s="5">
        <v>4</v>
      </c>
      <c r="I1753" s="6" t="s">
        <v>4745</v>
      </c>
      <c r="J1753" s="5">
        <v>1040</v>
      </c>
    </row>
    <row r="1754" s="2" customFormat="1" spans="1:10">
      <c r="A1754" s="6">
        <f>1752</f>
        <v>1752</v>
      </c>
      <c r="B1754" s="6" t="s">
        <v>4746</v>
      </c>
      <c r="C1754" s="6" t="s">
        <v>12</v>
      </c>
      <c r="D1754" s="6" t="s">
        <v>3574</v>
      </c>
      <c r="E1754" s="6" t="s">
        <v>4696</v>
      </c>
      <c r="F1754" s="6" t="s">
        <v>4747</v>
      </c>
      <c r="G1754" s="6" t="s">
        <v>16</v>
      </c>
      <c r="H1754" s="5">
        <v>2</v>
      </c>
      <c r="I1754" s="6" t="s">
        <v>4748</v>
      </c>
      <c r="J1754" s="5">
        <v>1000</v>
      </c>
    </row>
    <row r="1755" s="2" customFormat="1" ht="27" spans="1:10">
      <c r="A1755" s="6">
        <f>1753</f>
        <v>1753</v>
      </c>
      <c r="B1755" s="6" t="s">
        <v>4749</v>
      </c>
      <c r="C1755" s="6" t="s">
        <v>12</v>
      </c>
      <c r="D1755" s="6" t="s">
        <v>3574</v>
      </c>
      <c r="E1755" s="6" t="s">
        <v>4696</v>
      </c>
      <c r="F1755" s="6" t="s">
        <v>4750</v>
      </c>
      <c r="G1755" s="6" t="s">
        <v>16</v>
      </c>
      <c r="H1755" s="5">
        <v>6</v>
      </c>
      <c r="I1755" s="6" t="s">
        <v>4751</v>
      </c>
      <c r="J1755" s="5">
        <v>1440</v>
      </c>
    </row>
    <row r="1756" s="2" customFormat="1" spans="1:10">
      <c r="A1756" s="6">
        <f>1754</f>
        <v>1754</v>
      </c>
      <c r="B1756" s="6" t="s">
        <v>4752</v>
      </c>
      <c r="C1756" s="6" t="s">
        <v>12</v>
      </c>
      <c r="D1756" s="6" t="s">
        <v>3574</v>
      </c>
      <c r="E1756" s="6" t="s">
        <v>4696</v>
      </c>
      <c r="F1756" s="6" t="s">
        <v>4753</v>
      </c>
      <c r="G1756" s="6" t="s">
        <v>16</v>
      </c>
      <c r="H1756" s="5">
        <v>3</v>
      </c>
      <c r="I1756" s="6" t="s">
        <v>4754</v>
      </c>
      <c r="J1756" s="5">
        <v>1400</v>
      </c>
    </row>
    <row r="1757" s="2" customFormat="1" spans="1:10">
      <c r="A1757" s="6">
        <f>1755</f>
        <v>1755</v>
      </c>
      <c r="B1757" s="6" t="s">
        <v>4755</v>
      </c>
      <c r="C1757" s="6" t="s">
        <v>12</v>
      </c>
      <c r="D1757" s="6" t="s">
        <v>3574</v>
      </c>
      <c r="E1757" s="6" t="s">
        <v>4696</v>
      </c>
      <c r="F1757" s="6" t="s">
        <v>4756</v>
      </c>
      <c r="G1757" s="6" t="s">
        <v>16</v>
      </c>
      <c r="H1757" s="5">
        <v>3</v>
      </c>
      <c r="I1757" s="6" t="s">
        <v>4757</v>
      </c>
      <c r="J1757" s="5">
        <v>900</v>
      </c>
    </row>
    <row r="1758" s="2" customFormat="1" ht="27" spans="1:10">
      <c r="A1758" s="6">
        <f>1756</f>
        <v>1756</v>
      </c>
      <c r="B1758" s="6" t="s">
        <v>4758</v>
      </c>
      <c r="C1758" s="6" t="s">
        <v>12</v>
      </c>
      <c r="D1758" s="6" t="s">
        <v>3574</v>
      </c>
      <c r="E1758" s="6" t="s">
        <v>4696</v>
      </c>
      <c r="F1758" s="6" t="s">
        <v>4759</v>
      </c>
      <c r="G1758" s="6" t="s">
        <v>16</v>
      </c>
      <c r="H1758" s="5">
        <v>5</v>
      </c>
      <c r="I1758" s="6" t="s">
        <v>4760</v>
      </c>
      <c r="J1758" s="5">
        <v>1600</v>
      </c>
    </row>
    <row r="1759" s="2" customFormat="1" ht="27" spans="1:10">
      <c r="A1759" s="6">
        <f>1757</f>
        <v>1757</v>
      </c>
      <c r="B1759" s="6" t="s">
        <v>4761</v>
      </c>
      <c r="C1759" s="6" t="s">
        <v>12</v>
      </c>
      <c r="D1759" s="6" t="s">
        <v>3574</v>
      </c>
      <c r="E1759" s="6" t="s">
        <v>4696</v>
      </c>
      <c r="F1759" s="6" t="s">
        <v>4762</v>
      </c>
      <c r="G1759" s="6" t="s">
        <v>16</v>
      </c>
      <c r="H1759" s="5">
        <v>5</v>
      </c>
      <c r="I1759" s="6" t="s">
        <v>4763</v>
      </c>
      <c r="J1759" s="5">
        <v>1800</v>
      </c>
    </row>
    <row r="1760" s="2" customFormat="1" spans="1:10">
      <c r="A1760" s="6">
        <f>1758</f>
        <v>1758</v>
      </c>
      <c r="B1760" s="6" t="s">
        <v>4764</v>
      </c>
      <c r="C1760" s="6" t="s">
        <v>12</v>
      </c>
      <c r="D1760" s="6" t="s">
        <v>3574</v>
      </c>
      <c r="E1760" s="6" t="s">
        <v>4696</v>
      </c>
      <c r="F1760" s="6" t="s">
        <v>4765</v>
      </c>
      <c r="G1760" s="6" t="s">
        <v>16</v>
      </c>
      <c r="H1760" s="5">
        <v>3</v>
      </c>
      <c r="I1760" s="6" t="s">
        <v>4766</v>
      </c>
      <c r="J1760" s="5">
        <v>920</v>
      </c>
    </row>
    <row r="1761" s="2" customFormat="1" spans="1:10">
      <c r="A1761" s="6">
        <f>1759</f>
        <v>1759</v>
      </c>
      <c r="B1761" s="6" t="s">
        <v>4767</v>
      </c>
      <c r="C1761" s="6" t="s">
        <v>12</v>
      </c>
      <c r="D1761" s="6" t="s">
        <v>3574</v>
      </c>
      <c r="E1761" s="6" t="s">
        <v>4696</v>
      </c>
      <c r="F1761" s="6" t="s">
        <v>4768</v>
      </c>
      <c r="G1761" s="6" t="s">
        <v>16</v>
      </c>
      <c r="H1761" s="5">
        <v>3</v>
      </c>
      <c r="I1761" s="6" t="s">
        <v>4769</v>
      </c>
      <c r="J1761" s="5">
        <v>1380</v>
      </c>
    </row>
    <row r="1762" s="2" customFormat="1" spans="1:10">
      <c r="A1762" s="6">
        <f>1760</f>
        <v>1760</v>
      </c>
      <c r="B1762" s="6" t="s">
        <v>4770</v>
      </c>
      <c r="C1762" s="6" t="s">
        <v>12</v>
      </c>
      <c r="D1762" s="6" t="s">
        <v>3574</v>
      </c>
      <c r="E1762" s="6" t="s">
        <v>4696</v>
      </c>
      <c r="F1762" s="6" t="s">
        <v>4771</v>
      </c>
      <c r="G1762" s="6" t="s">
        <v>16</v>
      </c>
      <c r="H1762" s="5">
        <v>2</v>
      </c>
      <c r="I1762" s="6" t="s">
        <v>4772</v>
      </c>
      <c r="J1762" s="5">
        <v>900</v>
      </c>
    </row>
    <row r="1763" s="2" customFormat="1" spans="1:10">
      <c r="A1763" s="6">
        <f>1761</f>
        <v>1761</v>
      </c>
      <c r="B1763" s="6" t="s">
        <v>4773</v>
      </c>
      <c r="C1763" s="6" t="s">
        <v>12</v>
      </c>
      <c r="D1763" s="6" t="s">
        <v>3574</v>
      </c>
      <c r="E1763" s="6" t="s">
        <v>4696</v>
      </c>
      <c r="F1763" s="6" t="s">
        <v>4774</v>
      </c>
      <c r="G1763" s="6" t="s">
        <v>16</v>
      </c>
      <c r="H1763" s="5">
        <v>1</v>
      </c>
      <c r="I1763" s="6" t="s">
        <v>4774</v>
      </c>
      <c r="J1763" s="5">
        <v>420</v>
      </c>
    </row>
    <row r="1764" s="2" customFormat="1" spans="1:10">
      <c r="A1764" s="6">
        <f>1762</f>
        <v>1762</v>
      </c>
      <c r="B1764" s="6" t="s">
        <v>4775</v>
      </c>
      <c r="C1764" s="6" t="s">
        <v>12</v>
      </c>
      <c r="D1764" s="6" t="s">
        <v>3574</v>
      </c>
      <c r="E1764" s="6" t="s">
        <v>4696</v>
      </c>
      <c r="F1764" s="6" t="s">
        <v>4776</v>
      </c>
      <c r="G1764" s="6" t="s">
        <v>16</v>
      </c>
      <c r="H1764" s="5">
        <v>2</v>
      </c>
      <c r="I1764" s="6" t="s">
        <v>4777</v>
      </c>
      <c r="J1764" s="5">
        <v>860</v>
      </c>
    </row>
    <row r="1765" s="2" customFormat="1" spans="1:10">
      <c r="A1765" s="6">
        <f>1763</f>
        <v>1763</v>
      </c>
      <c r="B1765" s="6" t="s">
        <v>4778</v>
      </c>
      <c r="C1765" s="6" t="s">
        <v>12</v>
      </c>
      <c r="D1765" s="6" t="s">
        <v>3574</v>
      </c>
      <c r="E1765" s="6" t="s">
        <v>4696</v>
      </c>
      <c r="F1765" s="6" t="s">
        <v>4779</v>
      </c>
      <c r="G1765" s="6" t="s">
        <v>16</v>
      </c>
      <c r="H1765" s="5">
        <v>1</v>
      </c>
      <c r="I1765" s="6" t="s">
        <v>4779</v>
      </c>
      <c r="J1765" s="5">
        <v>460</v>
      </c>
    </row>
    <row r="1766" s="2" customFormat="1" spans="1:10">
      <c r="A1766" s="6">
        <f>1764</f>
        <v>1764</v>
      </c>
      <c r="B1766" s="6" t="s">
        <v>4780</v>
      </c>
      <c r="C1766" s="6" t="s">
        <v>12</v>
      </c>
      <c r="D1766" s="6" t="s">
        <v>3574</v>
      </c>
      <c r="E1766" s="6" t="s">
        <v>4696</v>
      </c>
      <c r="F1766" s="6" t="s">
        <v>4781</v>
      </c>
      <c r="G1766" s="6" t="s">
        <v>16</v>
      </c>
      <c r="H1766" s="5">
        <v>3</v>
      </c>
      <c r="I1766" s="6" t="s">
        <v>4782</v>
      </c>
      <c r="J1766" s="5">
        <v>1260</v>
      </c>
    </row>
    <row r="1767" s="2" customFormat="1" ht="27" spans="1:10">
      <c r="A1767" s="6">
        <f>1765</f>
        <v>1765</v>
      </c>
      <c r="B1767" s="6" t="s">
        <v>4783</v>
      </c>
      <c r="C1767" s="6" t="s">
        <v>12</v>
      </c>
      <c r="D1767" s="6" t="s">
        <v>3574</v>
      </c>
      <c r="E1767" s="6" t="s">
        <v>4696</v>
      </c>
      <c r="F1767" s="6" t="s">
        <v>4784</v>
      </c>
      <c r="G1767" s="6" t="s">
        <v>16</v>
      </c>
      <c r="H1767" s="5">
        <v>4</v>
      </c>
      <c r="I1767" s="6" t="s">
        <v>4785</v>
      </c>
      <c r="J1767" s="5">
        <v>1200</v>
      </c>
    </row>
    <row r="1768" s="2" customFormat="1" spans="1:10">
      <c r="A1768" s="6">
        <f>1766</f>
        <v>1766</v>
      </c>
      <c r="B1768" s="6" t="s">
        <v>4786</v>
      </c>
      <c r="C1768" s="6" t="s">
        <v>12</v>
      </c>
      <c r="D1768" s="6" t="s">
        <v>3574</v>
      </c>
      <c r="E1768" s="6" t="s">
        <v>4696</v>
      </c>
      <c r="F1768" s="6" t="s">
        <v>4787</v>
      </c>
      <c r="G1768" s="6" t="s">
        <v>16</v>
      </c>
      <c r="H1768" s="5">
        <v>2</v>
      </c>
      <c r="I1768" s="6" t="s">
        <v>4788</v>
      </c>
      <c r="J1768" s="5">
        <v>600</v>
      </c>
    </row>
    <row r="1769" s="2" customFormat="1" spans="1:10">
      <c r="A1769" s="6">
        <f>1767</f>
        <v>1767</v>
      </c>
      <c r="B1769" s="6" t="s">
        <v>4789</v>
      </c>
      <c r="C1769" s="6" t="s">
        <v>12</v>
      </c>
      <c r="D1769" s="6" t="s">
        <v>3574</v>
      </c>
      <c r="E1769" s="6" t="s">
        <v>4696</v>
      </c>
      <c r="F1769" s="6" t="s">
        <v>4790</v>
      </c>
      <c r="G1769" s="6" t="s">
        <v>16</v>
      </c>
      <c r="H1769" s="5">
        <v>2</v>
      </c>
      <c r="I1769" s="6" t="s">
        <v>4791</v>
      </c>
      <c r="J1769" s="5">
        <v>560</v>
      </c>
    </row>
    <row r="1770" s="2" customFormat="1" spans="1:10">
      <c r="A1770" s="6">
        <f>1768</f>
        <v>1768</v>
      </c>
      <c r="B1770" s="6" t="s">
        <v>4792</v>
      </c>
      <c r="C1770" s="6" t="s">
        <v>12</v>
      </c>
      <c r="D1770" s="6" t="s">
        <v>3574</v>
      </c>
      <c r="E1770" s="6" t="s">
        <v>4696</v>
      </c>
      <c r="F1770" s="6" t="s">
        <v>4793</v>
      </c>
      <c r="G1770" s="6" t="s">
        <v>16</v>
      </c>
      <c r="H1770" s="5">
        <v>2</v>
      </c>
      <c r="I1770" s="6" t="s">
        <v>4794</v>
      </c>
      <c r="J1770" s="5">
        <v>760</v>
      </c>
    </row>
    <row r="1771" s="2" customFormat="1" spans="1:10">
      <c r="A1771" s="6">
        <f>1769</f>
        <v>1769</v>
      </c>
      <c r="B1771" s="6" t="s">
        <v>4795</v>
      </c>
      <c r="C1771" s="6" t="s">
        <v>12</v>
      </c>
      <c r="D1771" s="6" t="s">
        <v>3574</v>
      </c>
      <c r="E1771" s="6" t="s">
        <v>4696</v>
      </c>
      <c r="F1771" s="6" t="s">
        <v>4796</v>
      </c>
      <c r="G1771" s="6" t="s">
        <v>16</v>
      </c>
      <c r="H1771" s="5">
        <v>1</v>
      </c>
      <c r="I1771" s="6" t="s">
        <v>4796</v>
      </c>
      <c r="J1771" s="5">
        <v>365</v>
      </c>
    </row>
    <row r="1772" s="2" customFormat="1" spans="1:10">
      <c r="A1772" s="6">
        <f>1770</f>
        <v>1770</v>
      </c>
      <c r="B1772" s="6" t="s">
        <v>4797</v>
      </c>
      <c r="C1772" s="6" t="s">
        <v>12</v>
      </c>
      <c r="D1772" s="6" t="s">
        <v>3574</v>
      </c>
      <c r="E1772" s="6" t="s">
        <v>4696</v>
      </c>
      <c r="F1772" s="6" t="s">
        <v>4798</v>
      </c>
      <c r="G1772" s="6" t="s">
        <v>16</v>
      </c>
      <c r="H1772" s="5">
        <v>1</v>
      </c>
      <c r="I1772" s="6" t="s">
        <v>4798</v>
      </c>
      <c r="J1772" s="5">
        <v>300</v>
      </c>
    </row>
    <row r="1773" s="2" customFormat="1" spans="1:10">
      <c r="A1773" s="6">
        <f>1771</f>
        <v>1771</v>
      </c>
      <c r="B1773" s="6" t="s">
        <v>4799</v>
      </c>
      <c r="C1773" s="6" t="s">
        <v>12</v>
      </c>
      <c r="D1773" s="6" t="s">
        <v>3574</v>
      </c>
      <c r="E1773" s="6" t="s">
        <v>4696</v>
      </c>
      <c r="F1773" s="6" t="s">
        <v>4800</v>
      </c>
      <c r="G1773" s="6" t="s">
        <v>16</v>
      </c>
      <c r="H1773" s="5">
        <v>1</v>
      </c>
      <c r="I1773" s="6" t="s">
        <v>4800</v>
      </c>
      <c r="J1773" s="5">
        <v>500</v>
      </c>
    </row>
    <row r="1774" s="2" customFormat="1" spans="1:10">
      <c r="A1774" s="6">
        <f>1772</f>
        <v>1772</v>
      </c>
      <c r="B1774" s="6" t="s">
        <v>4801</v>
      </c>
      <c r="C1774" s="6" t="s">
        <v>12</v>
      </c>
      <c r="D1774" s="6" t="s">
        <v>3574</v>
      </c>
      <c r="E1774" s="6" t="s">
        <v>4696</v>
      </c>
      <c r="F1774" s="6" t="s">
        <v>4802</v>
      </c>
      <c r="G1774" s="6" t="s">
        <v>16</v>
      </c>
      <c r="H1774" s="5">
        <v>1</v>
      </c>
      <c r="I1774" s="6" t="s">
        <v>4802</v>
      </c>
      <c r="J1774" s="5">
        <v>285</v>
      </c>
    </row>
    <row r="1775" s="2" customFormat="1" spans="1:10">
      <c r="A1775" s="6">
        <f>1773</f>
        <v>1773</v>
      </c>
      <c r="B1775" s="6" t="s">
        <v>4803</v>
      </c>
      <c r="C1775" s="6" t="s">
        <v>12</v>
      </c>
      <c r="D1775" s="6" t="s">
        <v>3574</v>
      </c>
      <c r="E1775" s="6" t="s">
        <v>4696</v>
      </c>
      <c r="F1775" s="6" t="s">
        <v>4804</v>
      </c>
      <c r="G1775" s="6" t="s">
        <v>16</v>
      </c>
      <c r="H1775" s="5">
        <v>1</v>
      </c>
      <c r="I1775" s="6" t="s">
        <v>4804</v>
      </c>
      <c r="J1775" s="5">
        <v>460</v>
      </c>
    </row>
    <row r="1776" s="2" customFormat="1" spans="1:10">
      <c r="A1776" s="6">
        <f>1774</f>
        <v>1774</v>
      </c>
      <c r="B1776" s="6" t="s">
        <v>4805</v>
      </c>
      <c r="C1776" s="6" t="s">
        <v>12</v>
      </c>
      <c r="D1776" s="6" t="s">
        <v>3574</v>
      </c>
      <c r="E1776" s="6" t="s">
        <v>4696</v>
      </c>
      <c r="F1776" s="6" t="s">
        <v>4806</v>
      </c>
      <c r="G1776" s="6" t="s">
        <v>16</v>
      </c>
      <c r="H1776" s="5">
        <v>1</v>
      </c>
      <c r="I1776" s="6" t="s">
        <v>4806</v>
      </c>
      <c r="J1776" s="5">
        <v>260</v>
      </c>
    </row>
    <row r="1777" s="2" customFormat="1" spans="1:10">
      <c r="A1777" s="6">
        <f>1775</f>
        <v>1775</v>
      </c>
      <c r="B1777" s="6" t="s">
        <v>4807</v>
      </c>
      <c r="C1777" s="6" t="s">
        <v>12</v>
      </c>
      <c r="D1777" s="6" t="s">
        <v>3574</v>
      </c>
      <c r="E1777" s="6" t="s">
        <v>4696</v>
      </c>
      <c r="F1777" s="6" t="s">
        <v>4808</v>
      </c>
      <c r="G1777" s="6" t="s">
        <v>16</v>
      </c>
      <c r="H1777" s="5">
        <v>1</v>
      </c>
      <c r="I1777" s="6" t="s">
        <v>4808</v>
      </c>
      <c r="J1777" s="5">
        <v>420</v>
      </c>
    </row>
    <row r="1778" s="2" customFormat="1" spans="1:10">
      <c r="A1778" s="6">
        <f>1776</f>
        <v>1776</v>
      </c>
      <c r="B1778" s="6" t="s">
        <v>4809</v>
      </c>
      <c r="C1778" s="6" t="s">
        <v>12</v>
      </c>
      <c r="D1778" s="6" t="s">
        <v>3574</v>
      </c>
      <c r="E1778" s="6" t="s">
        <v>4696</v>
      </c>
      <c r="F1778" s="6" t="s">
        <v>4810</v>
      </c>
      <c r="G1778" s="6" t="s">
        <v>16</v>
      </c>
      <c r="H1778" s="5">
        <v>2</v>
      </c>
      <c r="I1778" s="6" t="s">
        <v>4811</v>
      </c>
      <c r="J1778" s="5">
        <v>650</v>
      </c>
    </row>
    <row r="1779" s="2" customFormat="1" ht="27" spans="1:10">
      <c r="A1779" s="6">
        <f>1777</f>
        <v>1777</v>
      </c>
      <c r="B1779" s="6" t="s">
        <v>4812</v>
      </c>
      <c r="C1779" s="6" t="s">
        <v>12</v>
      </c>
      <c r="D1779" s="6" t="s">
        <v>3574</v>
      </c>
      <c r="E1779" s="6" t="s">
        <v>4696</v>
      </c>
      <c r="F1779" s="6" t="s">
        <v>4813</v>
      </c>
      <c r="G1779" s="6" t="s">
        <v>16</v>
      </c>
      <c r="H1779" s="5">
        <v>4</v>
      </c>
      <c r="I1779" s="6" t="s">
        <v>4814</v>
      </c>
      <c r="J1779" s="5">
        <v>1060</v>
      </c>
    </row>
    <row r="1780" s="2" customFormat="1" ht="27" spans="1:10">
      <c r="A1780" s="6">
        <f>1778</f>
        <v>1778</v>
      </c>
      <c r="B1780" s="6" t="s">
        <v>4815</v>
      </c>
      <c r="C1780" s="6" t="s">
        <v>12</v>
      </c>
      <c r="D1780" s="6" t="s">
        <v>3574</v>
      </c>
      <c r="E1780" s="6" t="s">
        <v>4696</v>
      </c>
      <c r="F1780" s="6" t="s">
        <v>4816</v>
      </c>
      <c r="G1780" s="6" t="s">
        <v>16</v>
      </c>
      <c r="H1780" s="5">
        <v>4</v>
      </c>
      <c r="I1780" s="6" t="s">
        <v>4817</v>
      </c>
      <c r="J1780" s="5">
        <v>1140</v>
      </c>
    </row>
    <row r="1781" s="2" customFormat="1" spans="1:10">
      <c r="A1781" s="6">
        <f>1779</f>
        <v>1779</v>
      </c>
      <c r="B1781" s="6" t="s">
        <v>4818</v>
      </c>
      <c r="C1781" s="6" t="s">
        <v>12</v>
      </c>
      <c r="D1781" s="6" t="s">
        <v>3574</v>
      </c>
      <c r="E1781" s="6" t="s">
        <v>4696</v>
      </c>
      <c r="F1781" s="6" t="s">
        <v>4819</v>
      </c>
      <c r="G1781" s="6" t="s">
        <v>16</v>
      </c>
      <c r="H1781" s="5">
        <v>1</v>
      </c>
      <c r="I1781" s="6" t="s">
        <v>4819</v>
      </c>
      <c r="J1781" s="5">
        <v>485</v>
      </c>
    </row>
    <row r="1782" s="2" customFormat="1" spans="1:10">
      <c r="A1782" s="6">
        <f>1780</f>
        <v>1780</v>
      </c>
      <c r="B1782" s="6" t="s">
        <v>4820</v>
      </c>
      <c r="C1782" s="6" t="s">
        <v>12</v>
      </c>
      <c r="D1782" s="6" t="s">
        <v>3574</v>
      </c>
      <c r="E1782" s="6" t="s">
        <v>4696</v>
      </c>
      <c r="F1782" s="6" t="s">
        <v>4821</v>
      </c>
      <c r="G1782" s="6" t="s">
        <v>16</v>
      </c>
      <c r="H1782" s="5">
        <v>3</v>
      </c>
      <c r="I1782" s="6" t="s">
        <v>4822</v>
      </c>
      <c r="J1782" s="5">
        <v>724</v>
      </c>
    </row>
    <row r="1783" s="2" customFormat="1" spans="1:10">
      <c r="A1783" s="6">
        <f>1781</f>
        <v>1781</v>
      </c>
      <c r="B1783" s="6" t="s">
        <v>4823</v>
      </c>
      <c r="C1783" s="6" t="s">
        <v>12</v>
      </c>
      <c r="D1783" s="6" t="s">
        <v>3574</v>
      </c>
      <c r="E1783" s="6" t="s">
        <v>4696</v>
      </c>
      <c r="F1783" s="6" t="s">
        <v>4824</v>
      </c>
      <c r="G1783" s="6" t="s">
        <v>16</v>
      </c>
      <c r="H1783" s="5">
        <v>3</v>
      </c>
      <c r="I1783" s="6" t="s">
        <v>4825</v>
      </c>
      <c r="J1783" s="5">
        <v>1200</v>
      </c>
    </row>
    <row r="1784" s="2" customFormat="1" spans="1:10">
      <c r="A1784" s="6">
        <f>1782</f>
        <v>1782</v>
      </c>
      <c r="B1784" s="6" t="s">
        <v>4826</v>
      </c>
      <c r="C1784" s="6" t="s">
        <v>12</v>
      </c>
      <c r="D1784" s="6" t="s">
        <v>3574</v>
      </c>
      <c r="E1784" s="6" t="s">
        <v>4696</v>
      </c>
      <c r="F1784" s="6" t="s">
        <v>4827</v>
      </c>
      <c r="G1784" s="6" t="s">
        <v>16</v>
      </c>
      <c r="H1784" s="5">
        <v>2</v>
      </c>
      <c r="I1784" s="6" t="s">
        <v>4828</v>
      </c>
      <c r="J1784" s="5">
        <v>600</v>
      </c>
    </row>
    <row r="1785" s="2" customFormat="1" spans="1:10">
      <c r="A1785" s="6">
        <f>1783</f>
        <v>1783</v>
      </c>
      <c r="B1785" s="6" t="s">
        <v>4829</v>
      </c>
      <c r="C1785" s="6" t="s">
        <v>12</v>
      </c>
      <c r="D1785" s="6" t="s">
        <v>3574</v>
      </c>
      <c r="E1785" s="6" t="s">
        <v>4696</v>
      </c>
      <c r="F1785" s="6" t="s">
        <v>4830</v>
      </c>
      <c r="G1785" s="6" t="s">
        <v>16</v>
      </c>
      <c r="H1785" s="5">
        <v>2</v>
      </c>
      <c r="I1785" s="6" t="s">
        <v>4831</v>
      </c>
      <c r="J1785" s="5">
        <v>920</v>
      </c>
    </row>
    <row r="1786" s="2" customFormat="1" ht="27" spans="1:10">
      <c r="A1786" s="6">
        <f>1784</f>
        <v>1784</v>
      </c>
      <c r="B1786" s="6" t="s">
        <v>4832</v>
      </c>
      <c r="C1786" s="6" t="s">
        <v>12</v>
      </c>
      <c r="D1786" s="6" t="s">
        <v>3574</v>
      </c>
      <c r="E1786" s="6" t="s">
        <v>4696</v>
      </c>
      <c r="F1786" s="6" t="s">
        <v>469</v>
      </c>
      <c r="G1786" s="6" t="s">
        <v>16</v>
      </c>
      <c r="H1786" s="5">
        <v>4</v>
      </c>
      <c r="I1786" s="6" t="s">
        <v>4833</v>
      </c>
      <c r="J1786" s="5">
        <v>1200</v>
      </c>
    </row>
    <row r="1787" s="2" customFormat="1" spans="1:10">
      <c r="A1787" s="6">
        <f>1785</f>
        <v>1785</v>
      </c>
      <c r="B1787" s="6" t="s">
        <v>4834</v>
      </c>
      <c r="C1787" s="6" t="s">
        <v>12</v>
      </c>
      <c r="D1787" s="6" t="s">
        <v>3574</v>
      </c>
      <c r="E1787" s="6" t="s">
        <v>4696</v>
      </c>
      <c r="F1787" s="6" t="s">
        <v>4835</v>
      </c>
      <c r="G1787" s="6" t="s">
        <v>16</v>
      </c>
      <c r="H1787" s="5">
        <v>1</v>
      </c>
      <c r="I1787" s="6" t="s">
        <v>4835</v>
      </c>
      <c r="J1787" s="5">
        <v>440</v>
      </c>
    </row>
    <row r="1788" s="2" customFormat="1" spans="1:10">
      <c r="A1788" s="6">
        <f>1786</f>
        <v>1786</v>
      </c>
      <c r="B1788" s="6" t="s">
        <v>4836</v>
      </c>
      <c r="C1788" s="6" t="s">
        <v>12</v>
      </c>
      <c r="D1788" s="6" t="s">
        <v>3574</v>
      </c>
      <c r="E1788" s="6" t="s">
        <v>4837</v>
      </c>
      <c r="F1788" s="6" t="s">
        <v>4838</v>
      </c>
      <c r="G1788" s="6" t="s">
        <v>16</v>
      </c>
      <c r="H1788" s="5">
        <v>2</v>
      </c>
      <c r="I1788" s="6" t="s">
        <v>4839</v>
      </c>
      <c r="J1788" s="5">
        <v>814</v>
      </c>
    </row>
    <row r="1789" s="2" customFormat="1" spans="1:10">
      <c r="A1789" s="6">
        <f>1787</f>
        <v>1787</v>
      </c>
      <c r="B1789" s="6" t="s">
        <v>4840</v>
      </c>
      <c r="C1789" s="6" t="s">
        <v>12</v>
      </c>
      <c r="D1789" s="6" t="s">
        <v>3574</v>
      </c>
      <c r="E1789" s="6" t="s">
        <v>4837</v>
      </c>
      <c r="F1789" s="6" t="s">
        <v>4841</v>
      </c>
      <c r="G1789" s="6" t="s">
        <v>16</v>
      </c>
      <c r="H1789" s="5">
        <v>1</v>
      </c>
      <c r="I1789" s="6" t="s">
        <v>4841</v>
      </c>
      <c r="J1789" s="5">
        <v>620</v>
      </c>
    </row>
    <row r="1790" s="2" customFormat="1" spans="1:10">
      <c r="A1790" s="6">
        <f>1788</f>
        <v>1788</v>
      </c>
      <c r="B1790" s="6" t="s">
        <v>4842</v>
      </c>
      <c r="C1790" s="6" t="s">
        <v>12</v>
      </c>
      <c r="D1790" s="6" t="s">
        <v>3574</v>
      </c>
      <c r="E1790" s="6" t="s">
        <v>4837</v>
      </c>
      <c r="F1790" s="6" t="s">
        <v>4843</v>
      </c>
      <c r="G1790" s="6" t="s">
        <v>16</v>
      </c>
      <c r="H1790" s="5">
        <v>1</v>
      </c>
      <c r="I1790" s="6" t="s">
        <v>4843</v>
      </c>
      <c r="J1790" s="5">
        <v>460</v>
      </c>
    </row>
    <row r="1791" s="2" customFormat="1" spans="1:10">
      <c r="A1791" s="6">
        <f>1789</f>
        <v>1789</v>
      </c>
      <c r="B1791" s="6" t="s">
        <v>4844</v>
      </c>
      <c r="C1791" s="6" t="s">
        <v>12</v>
      </c>
      <c r="D1791" s="6" t="s">
        <v>3574</v>
      </c>
      <c r="E1791" s="6" t="s">
        <v>4837</v>
      </c>
      <c r="F1791" s="6" t="s">
        <v>4845</v>
      </c>
      <c r="G1791" s="6" t="s">
        <v>16</v>
      </c>
      <c r="H1791" s="5">
        <v>3</v>
      </c>
      <c r="I1791" s="6" t="s">
        <v>4846</v>
      </c>
      <c r="J1791" s="5">
        <v>1010</v>
      </c>
    </row>
    <row r="1792" s="2" customFormat="1" ht="27" spans="1:10">
      <c r="A1792" s="6">
        <f>1790</f>
        <v>1790</v>
      </c>
      <c r="B1792" s="6" t="s">
        <v>4847</v>
      </c>
      <c r="C1792" s="6" t="s">
        <v>12</v>
      </c>
      <c r="D1792" s="6" t="s">
        <v>3574</v>
      </c>
      <c r="E1792" s="6" t="s">
        <v>4837</v>
      </c>
      <c r="F1792" s="6" t="s">
        <v>4848</v>
      </c>
      <c r="G1792" s="6" t="s">
        <v>16</v>
      </c>
      <c r="H1792" s="5">
        <v>4</v>
      </c>
      <c r="I1792" s="6" t="s">
        <v>4849</v>
      </c>
      <c r="J1792" s="5">
        <v>1440</v>
      </c>
    </row>
    <row r="1793" s="2" customFormat="1" spans="1:10">
      <c r="A1793" s="6">
        <f>1791</f>
        <v>1791</v>
      </c>
      <c r="B1793" s="6" t="s">
        <v>4850</v>
      </c>
      <c r="C1793" s="6" t="s">
        <v>12</v>
      </c>
      <c r="D1793" s="6" t="s">
        <v>3574</v>
      </c>
      <c r="E1793" s="6" t="s">
        <v>4837</v>
      </c>
      <c r="F1793" s="6" t="s">
        <v>1627</v>
      </c>
      <c r="G1793" s="6" t="s">
        <v>16</v>
      </c>
      <c r="H1793" s="5">
        <v>2</v>
      </c>
      <c r="I1793" s="6" t="s">
        <v>4851</v>
      </c>
      <c r="J1793" s="5">
        <v>680</v>
      </c>
    </row>
    <row r="1794" s="2" customFormat="1" ht="27" spans="1:10">
      <c r="A1794" s="6">
        <f>1792</f>
        <v>1792</v>
      </c>
      <c r="B1794" s="6" t="s">
        <v>4852</v>
      </c>
      <c r="C1794" s="6" t="s">
        <v>12</v>
      </c>
      <c r="D1794" s="6" t="s">
        <v>3574</v>
      </c>
      <c r="E1794" s="6" t="s">
        <v>4837</v>
      </c>
      <c r="F1794" s="6" t="s">
        <v>4853</v>
      </c>
      <c r="G1794" s="6" t="s">
        <v>16</v>
      </c>
      <c r="H1794" s="5">
        <v>5</v>
      </c>
      <c r="I1794" s="6" t="s">
        <v>4854</v>
      </c>
      <c r="J1794" s="5">
        <v>1380</v>
      </c>
    </row>
    <row r="1795" s="2" customFormat="1" spans="1:10">
      <c r="A1795" s="6">
        <f>1793</f>
        <v>1793</v>
      </c>
      <c r="B1795" s="6" t="s">
        <v>4855</v>
      </c>
      <c r="C1795" s="6" t="s">
        <v>12</v>
      </c>
      <c r="D1795" s="6" t="s">
        <v>3574</v>
      </c>
      <c r="E1795" s="6" t="s">
        <v>4837</v>
      </c>
      <c r="F1795" s="6" t="s">
        <v>4856</v>
      </c>
      <c r="G1795" s="6" t="s">
        <v>16</v>
      </c>
      <c r="H1795" s="5">
        <v>1</v>
      </c>
      <c r="I1795" s="6" t="s">
        <v>4856</v>
      </c>
      <c r="J1795" s="5">
        <v>380</v>
      </c>
    </row>
    <row r="1796" s="2" customFormat="1" spans="1:10">
      <c r="A1796" s="6">
        <f>1794</f>
        <v>1794</v>
      </c>
      <c r="B1796" s="6" t="s">
        <v>4857</v>
      </c>
      <c r="C1796" s="6" t="s">
        <v>12</v>
      </c>
      <c r="D1796" s="6" t="s">
        <v>3574</v>
      </c>
      <c r="E1796" s="6" t="s">
        <v>4837</v>
      </c>
      <c r="F1796" s="6" t="s">
        <v>4858</v>
      </c>
      <c r="G1796" s="6" t="s">
        <v>16</v>
      </c>
      <c r="H1796" s="5">
        <v>2</v>
      </c>
      <c r="I1796" s="6" t="s">
        <v>4859</v>
      </c>
      <c r="J1796" s="5">
        <v>720</v>
      </c>
    </row>
    <row r="1797" s="2" customFormat="1" spans="1:10">
      <c r="A1797" s="6">
        <f>1795</f>
        <v>1795</v>
      </c>
      <c r="B1797" s="6" t="s">
        <v>4860</v>
      </c>
      <c r="C1797" s="6" t="s">
        <v>12</v>
      </c>
      <c r="D1797" s="6" t="s">
        <v>3574</v>
      </c>
      <c r="E1797" s="6" t="s">
        <v>4837</v>
      </c>
      <c r="F1797" s="6" t="s">
        <v>4861</v>
      </c>
      <c r="G1797" s="6" t="s">
        <v>16</v>
      </c>
      <c r="H1797" s="5">
        <v>3</v>
      </c>
      <c r="I1797" s="6" t="s">
        <v>4862</v>
      </c>
      <c r="J1797" s="5">
        <v>699</v>
      </c>
    </row>
    <row r="1798" s="2" customFormat="1" spans="1:10">
      <c r="A1798" s="6">
        <f>1796</f>
        <v>1796</v>
      </c>
      <c r="B1798" s="6" t="s">
        <v>4863</v>
      </c>
      <c r="C1798" s="6" t="s">
        <v>12</v>
      </c>
      <c r="D1798" s="6" t="s">
        <v>3574</v>
      </c>
      <c r="E1798" s="6" t="s">
        <v>4837</v>
      </c>
      <c r="F1798" s="6" t="s">
        <v>4864</v>
      </c>
      <c r="G1798" s="6" t="s">
        <v>16</v>
      </c>
      <c r="H1798" s="5">
        <v>1</v>
      </c>
      <c r="I1798" s="6" t="s">
        <v>4864</v>
      </c>
      <c r="J1798" s="5">
        <v>600</v>
      </c>
    </row>
    <row r="1799" s="2" customFormat="1" spans="1:10">
      <c r="A1799" s="6">
        <f>1797</f>
        <v>1797</v>
      </c>
      <c r="B1799" s="6" t="s">
        <v>4865</v>
      </c>
      <c r="C1799" s="6" t="s">
        <v>12</v>
      </c>
      <c r="D1799" s="6" t="s">
        <v>3574</v>
      </c>
      <c r="E1799" s="6" t="s">
        <v>4837</v>
      </c>
      <c r="F1799" s="6" t="s">
        <v>4866</v>
      </c>
      <c r="G1799" s="6" t="s">
        <v>16</v>
      </c>
      <c r="H1799" s="5">
        <v>2</v>
      </c>
      <c r="I1799" s="6" t="s">
        <v>4867</v>
      </c>
      <c r="J1799" s="5">
        <v>880</v>
      </c>
    </row>
    <row r="1800" s="2" customFormat="1" spans="1:10">
      <c r="A1800" s="6">
        <f>1798</f>
        <v>1798</v>
      </c>
      <c r="B1800" s="6" t="s">
        <v>4868</v>
      </c>
      <c r="C1800" s="6" t="s">
        <v>12</v>
      </c>
      <c r="D1800" s="6" t="s">
        <v>3574</v>
      </c>
      <c r="E1800" s="6" t="s">
        <v>4837</v>
      </c>
      <c r="F1800" s="6" t="s">
        <v>4869</v>
      </c>
      <c r="G1800" s="6" t="s">
        <v>16</v>
      </c>
      <c r="H1800" s="5">
        <v>2</v>
      </c>
      <c r="I1800" s="6" t="s">
        <v>4870</v>
      </c>
      <c r="J1800" s="5">
        <v>720</v>
      </c>
    </row>
    <row r="1801" s="2" customFormat="1" ht="27" spans="1:10">
      <c r="A1801" s="6">
        <f>1799</f>
        <v>1799</v>
      </c>
      <c r="B1801" s="6" t="s">
        <v>4871</v>
      </c>
      <c r="C1801" s="6" t="s">
        <v>12</v>
      </c>
      <c r="D1801" s="6" t="s">
        <v>3574</v>
      </c>
      <c r="E1801" s="6" t="s">
        <v>4837</v>
      </c>
      <c r="F1801" s="6" t="s">
        <v>4872</v>
      </c>
      <c r="G1801" s="6" t="s">
        <v>16</v>
      </c>
      <c r="H1801" s="5">
        <v>4</v>
      </c>
      <c r="I1801" s="6" t="s">
        <v>4873</v>
      </c>
      <c r="J1801" s="5">
        <v>1440</v>
      </c>
    </row>
    <row r="1802" s="2" customFormat="1" spans="1:10">
      <c r="A1802" s="6">
        <f>1800</f>
        <v>1800</v>
      </c>
      <c r="B1802" s="6" t="s">
        <v>4874</v>
      </c>
      <c r="C1802" s="6" t="s">
        <v>12</v>
      </c>
      <c r="D1802" s="6" t="s">
        <v>3574</v>
      </c>
      <c r="E1802" s="6" t="s">
        <v>4837</v>
      </c>
      <c r="F1802" s="6" t="s">
        <v>4875</v>
      </c>
      <c r="G1802" s="6" t="s">
        <v>16</v>
      </c>
      <c r="H1802" s="5">
        <v>3</v>
      </c>
      <c r="I1802" s="6" t="s">
        <v>4876</v>
      </c>
      <c r="J1802" s="5">
        <v>1080</v>
      </c>
    </row>
    <row r="1803" s="2" customFormat="1" spans="1:10">
      <c r="A1803" s="6">
        <f>1801</f>
        <v>1801</v>
      </c>
      <c r="B1803" s="6" t="s">
        <v>4877</v>
      </c>
      <c r="C1803" s="6" t="s">
        <v>12</v>
      </c>
      <c r="D1803" s="6" t="s">
        <v>3574</v>
      </c>
      <c r="E1803" s="6" t="s">
        <v>4837</v>
      </c>
      <c r="F1803" s="6" t="s">
        <v>4878</v>
      </c>
      <c r="G1803" s="6" t="s">
        <v>16</v>
      </c>
      <c r="H1803" s="5">
        <v>3</v>
      </c>
      <c r="I1803" s="6" t="s">
        <v>4879</v>
      </c>
      <c r="J1803" s="5">
        <v>1520</v>
      </c>
    </row>
    <row r="1804" s="2" customFormat="1" spans="1:10">
      <c r="A1804" s="6">
        <f>1802</f>
        <v>1802</v>
      </c>
      <c r="B1804" s="6" t="s">
        <v>4880</v>
      </c>
      <c r="C1804" s="6" t="s">
        <v>12</v>
      </c>
      <c r="D1804" s="6" t="s">
        <v>3574</v>
      </c>
      <c r="E1804" s="6" t="s">
        <v>4837</v>
      </c>
      <c r="F1804" s="6" t="s">
        <v>4881</v>
      </c>
      <c r="G1804" s="6" t="s">
        <v>16</v>
      </c>
      <c r="H1804" s="5">
        <v>2</v>
      </c>
      <c r="I1804" s="6" t="s">
        <v>4882</v>
      </c>
      <c r="J1804" s="5">
        <v>729</v>
      </c>
    </row>
    <row r="1805" s="2" customFormat="1" spans="1:10">
      <c r="A1805" s="6">
        <f>1803</f>
        <v>1803</v>
      </c>
      <c r="B1805" s="6" t="s">
        <v>4883</v>
      </c>
      <c r="C1805" s="6" t="s">
        <v>12</v>
      </c>
      <c r="D1805" s="6" t="s">
        <v>3574</v>
      </c>
      <c r="E1805" s="6" t="s">
        <v>4837</v>
      </c>
      <c r="F1805" s="6" t="s">
        <v>4884</v>
      </c>
      <c r="G1805" s="6" t="s">
        <v>16</v>
      </c>
      <c r="H1805" s="5">
        <v>1</v>
      </c>
      <c r="I1805" s="6" t="s">
        <v>4884</v>
      </c>
      <c r="J1805" s="5">
        <v>325</v>
      </c>
    </row>
    <row r="1806" s="2" customFormat="1" spans="1:10">
      <c r="A1806" s="6">
        <f>1804</f>
        <v>1804</v>
      </c>
      <c r="B1806" s="6" t="s">
        <v>4885</v>
      </c>
      <c r="C1806" s="6" t="s">
        <v>12</v>
      </c>
      <c r="D1806" s="6" t="s">
        <v>3574</v>
      </c>
      <c r="E1806" s="6" t="s">
        <v>4837</v>
      </c>
      <c r="F1806" s="6" t="s">
        <v>4886</v>
      </c>
      <c r="G1806" s="6" t="s">
        <v>16</v>
      </c>
      <c r="H1806" s="5">
        <v>1</v>
      </c>
      <c r="I1806" s="6" t="s">
        <v>4886</v>
      </c>
      <c r="J1806" s="5">
        <v>390</v>
      </c>
    </row>
    <row r="1807" s="2" customFormat="1" spans="1:10">
      <c r="A1807" s="6">
        <f>1805</f>
        <v>1805</v>
      </c>
      <c r="B1807" s="6" t="s">
        <v>4887</v>
      </c>
      <c r="C1807" s="6" t="s">
        <v>12</v>
      </c>
      <c r="D1807" s="6" t="s">
        <v>3574</v>
      </c>
      <c r="E1807" s="6" t="s">
        <v>4837</v>
      </c>
      <c r="F1807" s="6" t="s">
        <v>4888</v>
      </c>
      <c r="G1807" s="6" t="s">
        <v>16</v>
      </c>
      <c r="H1807" s="5">
        <v>2</v>
      </c>
      <c r="I1807" s="6" t="s">
        <v>4889</v>
      </c>
      <c r="J1807" s="5">
        <v>470</v>
      </c>
    </row>
    <row r="1808" s="2" customFormat="1" spans="1:10">
      <c r="A1808" s="6">
        <f>1806</f>
        <v>1806</v>
      </c>
      <c r="B1808" s="6" t="s">
        <v>4890</v>
      </c>
      <c r="C1808" s="6" t="s">
        <v>12</v>
      </c>
      <c r="D1808" s="6" t="s">
        <v>3574</v>
      </c>
      <c r="E1808" s="6" t="s">
        <v>4837</v>
      </c>
      <c r="F1808" s="6" t="s">
        <v>4891</v>
      </c>
      <c r="G1808" s="6" t="s">
        <v>16</v>
      </c>
      <c r="H1808" s="5">
        <v>1</v>
      </c>
      <c r="I1808" s="6" t="s">
        <v>4891</v>
      </c>
      <c r="J1808" s="5">
        <v>303</v>
      </c>
    </row>
    <row r="1809" s="2" customFormat="1" spans="1:10">
      <c r="A1809" s="6">
        <f>1807</f>
        <v>1807</v>
      </c>
      <c r="B1809" s="6" t="s">
        <v>4892</v>
      </c>
      <c r="C1809" s="6" t="s">
        <v>12</v>
      </c>
      <c r="D1809" s="6" t="s">
        <v>3574</v>
      </c>
      <c r="E1809" s="6" t="s">
        <v>4837</v>
      </c>
      <c r="F1809" s="6" t="s">
        <v>4893</v>
      </c>
      <c r="G1809" s="6" t="s">
        <v>16</v>
      </c>
      <c r="H1809" s="5">
        <v>1</v>
      </c>
      <c r="I1809" s="6" t="s">
        <v>4893</v>
      </c>
      <c r="J1809" s="5">
        <v>230</v>
      </c>
    </row>
    <row r="1810" s="2" customFormat="1" ht="27" spans="1:10">
      <c r="A1810" s="6">
        <f>1808</f>
        <v>1808</v>
      </c>
      <c r="B1810" s="6" t="s">
        <v>4894</v>
      </c>
      <c r="C1810" s="6" t="s">
        <v>12</v>
      </c>
      <c r="D1810" s="6" t="s">
        <v>3574</v>
      </c>
      <c r="E1810" s="6" t="s">
        <v>4837</v>
      </c>
      <c r="F1810" s="6" t="s">
        <v>4895</v>
      </c>
      <c r="G1810" s="6" t="s">
        <v>16</v>
      </c>
      <c r="H1810" s="5">
        <v>5</v>
      </c>
      <c r="I1810" s="6" t="s">
        <v>4896</v>
      </c>
      <c r="J1810" s="5">
        <v>1030</v>
      </c>
    </row>
    <row r="1811" s="2" customFormat="1" ht="27" spans="1:10">
      <c r="A1811" s="6">
        <f>1809</f>
        <v>1809</v>
      </c>
      <c r="B1811" s="6" t="s">
        <v>4897</v>
      </c>
      <c r="C1811" s="6" t="s">
        <v>12</v>
      </c>
      <c r="D1811" s="6" t="s">
        <v>3574</v>
      </c>
      <c r="E1811" s="6" t="s">
        <v>4837</v>
      </c>
      <c r="F1811" s="6" t="s">
        <v>4898</v>
      </c>
      <c r="G1811" s="6" t="s">
        <v>16</v>
      </c>
      <c r="H1811" s="5">
        <v>4</v>
      </c>
      <c r="I1811" s="6" t="s">
        <v>4899</v>
      </c>
      <c r="J1811" s="5">
        <v>1110</v>
      </c>
    </row>
    <row r="1812" s="2" customFormat="1" spans="1:10">
      <c r="A1812" s="6">
        <f>1810</f>
        <v>1810</v>
      </c>
      <c r="B1812" s="6" t="s">
        <v>4900</v>
      </c>
      <c r="C1812" s="6" t="s">
        <v>12</v>
      </c>
      <c r="D1812" s="6" t="s">
        <v>3574</v>
      </c>
      <c r="E1812" s="6" t="s">
        <v>4837</v>
      </c>
      <c r="F1812" s="6" t="s">
        <v>4901</v>
      </c>
      <c r="G1812" s="6" t="s">
        <v>16</v>
      </c>
      <c r="H1812" s="5">
        <v>1</v>
      </c>
      <c r="I1812" s="6" t="s">
        <v>4901</v>
      </c>
      <c r="J1812" s="5">
        <v>367</v>
      </c>
    </row>
    <row r="1813" s="2" customFormat="1" spans="1:10">
      <c r="A1813" s="6">
        <f>1811</f>
        <v>1811</v>
      </c>
      <c r="B1813" s="6" t="s">
        <v>4902</v>
      </c>
      <c r="C1813" s="6" t="s">
        <v>12</v>
      </c>
      <c r="D1813" s="6" t="s">
        <v>3574</v>
      </c>
      <c r="E1813" s="6" t="s">
        <v>4837</v>
      </c>
      <c r="F1813" s="6" t="s">
        <v>4903</v>
      </c>
      <c r="G1813" s="6" t="s">
        <v>16</v>
      </c>
      <c r="H1813" s="5">
        <v>1</v>
      </c>
      <c r="I1813" s="6" t="s">
        <v>4903</v>
      </c>
      <c r="J1813" s="5">
        <v>307</v>
      </c>
    </row>
    <row r="1814" s="2" customFormat="1" spans="1:10">
      <c r="A1814" s="6">
        <f>1812</f>
        <v>1812</v>
      </c>
      <c r="B1814" s="6" t="s">
        <v>4904</v>
      </c>
      <c r="C1814" s="6" t="s">
        <v>12</v>
      </c>
      <c r="D1814" s="6" t="s">
        <v>3574</v>
      </c>
      <c r="E1814" s="6" t="s">
        <v>4837</v>
      </c>
      <c r="F1814" s="6" t="s">
        <v>4905</v>
      </c>
      <c r="G1814" s="6" t="s">
        <v>16</v>
      </c>
      <c r="H1814" s="5">
        <v>2</v>
      </c>
      <c r="I1814" s="6" t="s">
        <v>4906</v>
      </c>
      <c r="J1814" s="5">
        <v>734</v>
      </c>
    </row>
    <row r="1815" s="2" customFormat="1" spans="1:10">
      <c r="A1815" s="6">
        <f>1813</f>
        <v>1813</v>
      </c>
      <c r="B1815" s="6" t="s">
        <v>4907</v>
      </c>
      <c r="C1815" s="6" t="s">
        <v>12</v>
      </c>
      <c r="D1815" s="6" t="s">
        <v>3574</v>
      </c>
      <c r="E1815" s="6" t="s">
        <v>4837</v>
      </c>
      <c r="F1815" s="6" t="s">
        <v>4908</v>
      </c>
      <c r="G1815" s="6" t="s">
        <v>16</v>
      </c>
      <c r="H1815" s="5">
        <v>1</v>
      </c>
      <c r="I1815" s="6" t="s">
        <v>4908</v>
      </c>
      <c r="J1815" s="5">
        <v>290</v>
      </c>
    </row>
    <row r="1816" s="2" customFormat="1" spans="1:10">
      <c r="A1816" s="6">
        <f>1814</f>
        <v>1814</v>
      </c>
      <c r="B1816" s="6" t="s">
        <v>4909</v>
      </c>
      <c r="C1816" s="6" t="s">
        <v>12</v>
      </c>
      <c r="D1816" s="6" t="s">
        <v>3574</v>
      </c>
      <c r="E1816" s="6" t="s">
        <v>4837</v>
      </c>
      <c r="F1816" s="6" t="s">
        <v>4910</v>
      </c>
      <c r="G1816" s="6" t="s">
        <v>16</v>
      </c>
      <c r="H1816" s="5">
        <v>2</v>
      </c>
      <c r="I1816" s="6" t="s">
        <v>4911</v>
      </c>
      <c r="J1816" s="5">
        <v>520</v>
      </c>
    </row>
    <row r="1817" s="2" customFormat="1" spans="1:10">
      <c r="A1817" s="6">
        <f>1815</f>
        <v>1815</v>
      </c>
      <c r="B1817" s="6" t="s">
        <v>4912</v>
      </c>
      <c r="C1817" s="6" t="s">
        <v>12</v>
      </c>
      <c r="D1817" s="6" t="s">
        <v>3574</v>
      </c>
      <c r="E1817" s="6" t="s">
        <v>4837</v>
      </c>
      <c r="F1817" s="6" t="s">
        <v>4913</v>
      </c>
      <c r="G1817" s="6" t="s">
        <v>16</v>
      </c>
      <c r="H1817" s="5">
        <v>2</v>
      </c>
      <c r="I1817" s="6" t="s">
        <v>4914</v>
      </c>
      <c r="J1817" s="5">
        <v>534</v>
      </c>
    </row>
    <row r="1818" s="2" customFormat="1" spans="1:10">
      <c r="A1818" s="6">
        <f>1816</f>
        <v>1816</v>
      </c>
      <c r="B1818" s="6" t="s">
        <v>4915</v>
      </c>
      <c r="C1818" s="6" t="s">
        <v>12</v>
      </c>
      <c r="D1818" s="6" t="s">
        <v>3574</v>
      </c>
      <c r="E1818" s="6" t="s">
        <v>4837</v>
      </c>
      <c r="F1818" s="6" t="s">
        <v>4916</v>
      </c>
      <c r="G1818" s="6" t="s">
        <v>16</v>
      </c>
      <c r="H1818" s="5">
        <v>3</v>
      </c>
      <c r="I1818" s="6" t="s">
        <v>4917</v>
      </c>
      <c r="J1818" s="5">
        <v>831</v>
      </c>
    </row>
    <row r="1819" s="2" customFormat="1" spans="1:10">
      <c r="A1819" s="6">
        <f>1817</f>
        <v>1817</v>
      </c>
      <c r="B1819" s="6" t="s">
        <v>4918</v>
      </c>
      <c r="C1819" s="6" t="s">
        <v>12</v>
      </c>
      <c r="D1819" s="6" t="s">
        <v>3574</v>
      </c>
      <c r="E1819" s="6" t="s">
        <v>4837</v>
      </c>
      <c r="F1819" s="6" t="s">
        <v>4919</v>
      </c>
      <c r="G1819" s="6" t="s">
        <v>16</v>
      </c>
      <c r="H1819" s="5">
        <v>1</v>
      </c>
      <c r="I1819" s="6" t="s">
        <v>4919</v>
      </c>
      <c r="J1819" s="5">
        <v>260</v>
      </c>
    </row>
    <row r="1820" s="2" customFormat="1" spans="1:10">
      <c r="A1820" s="6">
        <f>1818</f>
        <v>1818</v>
      </c>
      <c r="B1820" s="6" t="s">
        <v>4920</v>
      </c>
      <c r="C1820" s="6" t="s">
        <v>12</v>
      </c>
      <c r="D1820" s="6" t="s">
        <v>3574</v>
      </c>
      <c r="E1820" s="6" t="s">
        <v>4837</v>
      </c>
      <c r="F1820" s="6" t="s">
        <v>4921</v>
      </c>
      <c r="G1820" s="6" t="s">
        <v>16</v>
      </c>
      <c r="H1820" s="5">
        <v>3</v>
      </c>
      <c r="I1820" s="6" t="s">
        <v>4922</v>
      </c>
      <c r="J1820" s="5">
        <v>690</v>
      </c>
    </row>
    <row r="1821" s="2" customFormat="1" spans="1:10">
      <c r="A1821" s="6">
        <f>1819</f>
        <v>1819</v>
      </c>
      <c r="B1821" s="6" t="s">
        <v>4923</v>
      </c>
      <c r="C1821" s="6" t="s">
        <v>12</v>
      </c>
      <c r="D1821" s="6" t="s">
        <v>3574</v>
      </c>
      <c r="E1821" s="6" t="s">
        <v>4837</v>
      </c>
      <c r="F1821" s="6" t="s">
        <v>4924</v>
      </c>
      <c r="G1821" s="6" t="s">
        <v>16</v>
      </c>
      <c r="H1821" s="5">
        <v>3</v>
      </c>
      <c r="I1821" s="6" t="s">
        <v>4925</v>
      </c>
      <c r="J1821" s="5">
        <v>699</v>
      </c>
    </row>
    <row r="1822" s="2" customFormat="1" spans="1:10">
      <c r="A1822" s="6">
        <f>1820</f>
        <v>1820</v>
      </c>
      <c r="B1822" s="6" t="s">
        <v>4926</v>
      </c>
      <c r="C1822" s="6" t="s">
        <v>12</v>
      </c>
      <c r="D1822" s="6" t="s">
        <v>3574</v>
      </c>
      <c r="E1822" s="6" t="s">
        <v>4837</v>
      </c>
      <c r="F1822" s="6" t="s">
        <v>4927</v>
      </c>
      <c r="G1822" s="6" t="s">
        <v>16</v>
      </c>
      <c r="H1822" s="5">
        <v>1</v>
      </c>
      <c r="I1822" s="6" t="s">
        <v>4927</v>
      </c>
      <c r="J1822" s="5">
        <v>440</v>
      </c>
    </row>
    <row r="1823" s="2" customFormat="1" spans="1:10">
      <c r="A1823" s="6">
        <f>1821</f>
        <v>1821</v>
      </c>
      <c r="B1823" s="6" t="s">
        <v>4928</v>
      </c>
      <c r="C1823" s="6" t="s">
        <v>12</v>
      </c>
      <c r="D1823" s="6" t="s">
        <v>3574</v>
      </c>
      <c r="E1823" s="6" t="s">
        <v>4837</v>
      </c>
      <c r="F1823" s="6" t="s">
        <v>4929</v>
      </c>
      <c r="G1823" s="6" t="s">
        <v>16</v>
      </c>
      <c r="H1823" s="5">
        <v>3</v>
      </c>
      <c r="I1823" s="6" t="s">
        <v>4930</v>
      </c>
      <c r="J1823" s="5">
        <v>560</v>
      </c>
    </row>
    <row r="1824" s="2" customFormat="1" spans="1:10">
      <c r="A1824" s="6">
        <f>1822</f>
        <v>1822</v>
      </c>
      <c r="B1824" s="6" t="s">
        <v>4931</v>
      </c>
      <c r="C1824" s="6" t="s">
        <v>12</v>
      </c>
      <c r="D1824" s="6" t="s">
        <v>3574</v>
      </c>
      <c r="E1824" s="6" t="s">
        <v>4837</v>
      </c>
      <c r="F1824" s="6" t="s">
        <v>4932</v>
      </c>
      <c r="G1824" s="6" t="s">
        <v>16</v>
      </c>
      <c r="H1824" s="5">
        <v>2</v>
      </c>
      <c r="I1824" s="6" t="s">
        <v>4933</v>
      </c>
      <c r="J1824" s="5">
        <v>540</v>
      </c>
    </row>
    <row r="1825" s="2" customFormat="1" spans="1:10">
      <c r="A1825" s="6">
        <f>1823</f>
        <v>1823</v>
      </c>
      <c r="B1825" s="6" t="s">
        <v>4934</v>
      </c>
      <c r="C1825" s="6" t="s">
        <v>12</v>
      </c>
      <c r="D1825" s="6" t="s">
        <v>3574</v>
      </c>
      <c r="E1825" s="6" t="s">
        <v>4837</v>
      </c>
      <c r="F1825" s="6" t="s">
        <v>4935</v>
      </c>
      <c r="G1825" s="6" t="s">
        <v>16</v>
      </c>
      <c r="H1825" s="5">
        <v>1</v>
      </c>
      <c r="I1825" s="6" t="s">
        <v>4935</v>
      </c>
      <c r="J1825" s="5">
        <v>253</v>
      </c>
    </row>
    <row r="1826" s="2" customFormat="1" spans="1:10">
      <c r="A1826" s="6">
        <f>1824</f>
        <v>1824</v>
      </c>
      <c r="B1826" s="6" t="s">
        <v>4936</v>
      </c>
      <c r="C1826" s="6" t="s">
        <v>12</v>
      </c>
      <c r="D1826" s="6" t="s">
        <v>3574</v>
      </c>
      <c r="E1826" s="6" t="s">
        <v>4837</v>
      </c>
      <c r="F1826" s="6" t="s">
        <v>4937</v>
      </c>
      <c r="G1826" s="6" t="s">
        <v>16</v>
      </c>
      <c r="H1826" s="5">
        <v>3</v>
      </c>
      <c r="I1826" s="6" t="s">
        <v>4938</v>
      </c>
      <c r="J1826" s="5">
        <v>610</v>
      </c>
    </row>
    <row r="1827" s="2" customFormat="1" spans="1:10">
      <c r="A1827" s="6">
        <f>1825</f>
        <v>1825</v>
      </c>
      <c r="B1827" s="6" t="s">
        <v>4939</v>
      </c>
      <c r="C1827" s="6" t="s">
        <v>12</v>
      </c>
      <c r="D1827" s="6" t="s">
        <v>3574</v>
      </c>
      <c r="E1827" s="6" t="s">
        <v>4837</v>
      </c>
      <c r="F1827" s="6" t="s">
        <v>4940</v>
      </c>
      <c r="G1827" s="6" t="s">
        <v>16</v>
      </c>
      <c r="H1827" s="5">
        <v>2</v>
      </c>
      <c r="I1827" s="6" t="s">
        <v>4941</v>
      </c>
      <c r="J1827" s="5">
        <v>500</v>
      </c>
    </row>
    <row r="1828" s="2" customFormat="1" spans="1:10">
      <c r="A1828" s="6">
        <f>1826</f>
        <v>1826</v>
      </c>
      <c r="B1828" s="6" t="s">
        <v>4942</v>
      </c>
      <c r="C1828" s="6" t="s">
        <v>12</v>
      </c>
      <c r="D1828" s="6" t="s">
        <v>3574</v>
      </c>
      <c r="E1828" s="6" t="s">
        <v>4837</v>
      </c>
      <c r="F1828" s="6" t="s">
        <v>4943</v>
      </c>
      <c r="G1828" s="6" t="s">
        <v>16</v>
      </c>
      <c r="H1828" s="5">
        <v>1</v>
      </c>
      <c r="I1828" s="6" t="s">
        <v>4943</v>
      </c>
      <c r="J1828" s="5">
        <v>360</v>
      </c>
    </row>
    <row r="1829" s="2" customFormat="1" spans="1:10">
      <c r="A1829" s="6">
        <f>1827</f>
        <v>1827</v>
      </c>
      <c r="B1829" s="6" t="s">
        <v>4944</v>
      </c>
      <c r="C1829" s="6" t="s">
        <v>12</v>
      </c>
      <c r="D1829" s="6" t="s">
        <v>3574</v>
      </c>
      <c r="E1829" s="6" t="s">
        <v>4837</v>
      </c>
      <c r="F1829" s="6" t="s">
        <v>4945</v>
      </c>
      <c r="G1829" s="6" t="s">
        <v>16</v>
      </c>
      <c r="H1829" s="5">
        <v>1</v>
      </c>
      <c r="I1829" s="6" t="s">
        <v>4945</v>
      </c>
      <c r="J1829" s="5">
        <v>270</v>
      </c>
    </row>
    <row r="1830" s="2" customFormat="1" spans="1:10">
      <c r="A1830" s="6">
        <f>1828</f>
        <v>1828</v>
      </c>
      <c r="B1830" s="6" t="s">
        <v>4946</v>
      </c>
      <c r="C1830" s="6" t="s">
        <v>12</v>
      </c>
      <c r="D1830" s="6" t="s">
        <v>3574</v>
      </c>
      <c r="E1830" s="6" t="s">
        <v>4837</v>
      </c>
      <c r="F1830" s="6" t="s">
        <v>4947</v>
      </c>
      <c r="G1830" s="6" t="s">
        <v>16</v>
      </c>
      <c r="H1830" s="5">
        <v>2</v>
      </c>
      <c r="I1830" s="6" t="s">
        <v>4948</v>
      </c>
      <c r="J1830" s="5">
        <v>520</v>
      </c>
    </row>
    <row r="1831" s="2" customFormat="1" spans="1:10">
      <c r="A1831" s="6">
        <f>1829</f>
        <v>1829</v>
      </c>
      <c r="B1831" s="6" t="s">
        <v>4949</v>
      </c>
      <c r="C1831" s="6" t="s">
        <v>12</v>
      </c>
      <c r="D1831" s="6" t="s">
        <v>3574</v>
      </c>
      <c r="E1831" s="6" t="s">
        <v>4837</v>
      </c>
      <c r="F1831" s="6" t="s">
        <v>4950</v>
      </c>
      <c r="G1831" s="6" t="s">
        <v>16</v>
      </c>
      <c r="H1831" s="5">
        <v>2</v>
      </c>
      <c r="I1831" s="6" t="s">
        <v>4951</v>
      </c>
      <c r="J1831" s="5">
        <v>460</v>
      </c>
    </row>
    <row r="1832" s="2" customFormat="1" spans="1:10">
      <c r="A1832" s="6">
        <f>1830</f>
        <v>1830</v>
      </c>
      <c r="B1832" s="6" t="s">
        <v>4952</v>
      </c>
      <c r="C1832" s="6" t="s">
        <v>12</v>
      </c>
      <c r="D1832" s="6" t="s">
        <v>3574</v>
      </c>
      <c r="E1832" s="6" t="s">
        <v>4837</v>
      </c>
      <c r="F1832" s="6" t="s">
        <v>4953</v>
      </c>
      <c r="G1832" s="6" t="s">
        <v>16</v>
      </c>
      <c r="H1832" s="5">
        <v>2</v>
      </c>
      <c r="I1832" s="6" t="s">
        <v>4954</v>
      </c>
      <c r="J1832" s="5">
        <v>860</v>
      </c>
    </row>
    <row r="1833" s="2" customFormat="1" spans="1:10">
      <c r="A1833" s="6">
        <f>1831</f>
        <v>1831</v>
      </c>
      <c r="B1833" s="6" t="s">
        <v>4955</v>
      </c>
      <c r="C1833" s="6" t="s">
        <v>12</v>
      </c>
      <c r="D1833" s="6" t="s">
        <v>3574</v>
      </c>
      <c r="E1833" s="6" t="s">
        <v>4837</v>
      </c>
      <c r="F1833" s="6" t="s">
        <v>4956</v>
      </c>
      <c r="G1833" s="6" t="s">
        <v>16</v>
      </c>
      <c r="H1833" s="5">
        <v>3</v>
      </c>
      <c r="I1833" s="6" t="s">
        <v>4957</v>
      </c>
      <c r="J1833" s="5">
        <v>1260</v>
      </c>
    </row>
    <row r="1834" s="2" customFormat="1" spans="1:10">
      <c r="A1834" s="6">
        <f>1832</f>
        <v>1832</v>
      </c>
      <c r="B1834" s="6" t="s">
        <v>4958</v>
      </c>
      <c r="C1834" s="6" t="s">
        <v>12</v>
      </c>
      <c r="D1834" s="6" t="s">
        <v>3574</v>
      </c>
      <c r="E1834" s="6" t="s">
        <v>4837</v>
      </c>
      <c r="F1834" s="6" t="s">
        <v>4959</v>
      </c>
      <c r="G1834" s="6" t="s">
        <v>16</v>
      </c>
      <c r="H1834" s="5">
        <v>1</v>
      </c>
      <c r="I1834" s="6" t="s">
        <v>4959</v>
      </c>
      <c r="J1834" s="5">
        <v>303</v>
      </c>
    </row>
    <row r="1835" s="2" customFormat="1" spans="1:10">
      <c r="A1835" s="6">
        <f>1833</f>
        <v>1833</v>
      </c>
      <c r="B1835" s="6" t="s">
        <v>4960</v>
      </c>
      <c r="C1835" s="6" t="s">
        <v>12</v>
      </c>
      <c r="D1835" s="6" t="s">
        <v>3574</v>
      </c>
      <c r="E1835" s="6" t="s">
        <v>4837</v>
      </c>
      <c r="F1835" s="6" t="s">
        <v>4961</v>
      </c>
      <c r="G1835" s="6" t="s">
        <v>16</v>
      </c>
      <c r="H1835" s="5">
        <v>1</v>
      </c>
      <c r="I1835" s="6" t="s">
        <v>4961</v>
      </c>
      <c r="J1835" s="5">
        <v>273</v>
      </c>
    </row>
    <row r="1836" s="2" customFormat="1" ht="27" spans="1:10">
      <c r="A1836" s="6">
        <f>1834</f>
        <v>1834</v>
      </c>
      <c r="B1836" s="6" t="s">
        <v>4962</v>
      </c>
      <c r="C1836" s="6" t="s">
        <v>12</v>
      </c>
      <c r="D1836" s="6" t="s">
        <v>3574</v>
      </c>
      <c r="E1836" s="6" t="s">
        <v>4837</v>
      </c>
      <c r="F1836" s="6" t="s">
        <v>4963</v>
      </c>
      <c r="G1836" s="6" t="s">
        <v>16</v>
      </c>
      <c r="H1836" s="5">
        <v>5</v>
      </c>
      <c r="I1836" s="6" t="s">
        <v>4964</v>
      </c>
      <c r="J1836" s="5">
        <v>1100</v>
      </c>
    </row>
    <row r="1837" s="2" customFormat="1" spans="1:10">
      <c r="A1837" s="6">
        <f>1835</f>
        <v>1835</v>
      </c>
      <c r="B1837" s="6" t="s">
        <v>4965</v>
      </c>
      <c r="C1837" s="6" t="s">
        <v>12</v>
      </c>
      <c r="D1837" s="6" t="s">
        <v>3574</v>
      </c>
      <c r="E1837" s="6" t="s">
        <v>4837</v>
      </c>
      <c r="F1837" s="6" t="s">
        <v>4966</v>
      </c>
      <c r="G1837" s="6" t="s">
        <v>16</v>
      </c>
      <c r="H1837" s="5">
        <v>2</v>
      </c>
      <c r="I1837" s="6" t="s">
        <v>4967</v>
      </c>
      <c r="J1837" s="5">
        <v>506</v>
      </c>
    </row>
    <row r="1838" s="2" customFormat="1" spans="1:10">
      <c r="A1838" s="6">
        <f>1836</f>
        <v>1836</v>
      </c>
      <c r="B1838" s="6" t="s">
        <v>4968</v>
      </c>
      <c r="C1838" s="6" t="s">
        <v>12</v>
      </c>
      <c r="D1838" s="6" t="s">
        <v>3574</v>
      </c>
      <c r="E1838" s="6" t="s">
        <v>4837</v>
      </c>
      <c r="F1838" s="6" t="s">
        <v>4969</v>
      </c>
      <c r="G1838" s="6" t="s">
        <v>16</v>
      </c>
      <c r="H1838" s="5">
        <v>1</v>
      </c>
      <c r="I1838" s="6" t="s">
        <v>4969</v>
      </c>
      <c r="J1838" s="5">
        <v>360</v>
      </c>
    </row>
    <row r="1839" s="2" customFormat="1" ht="27" spans="1:10">
      <c r="A1839" s="6">
        <f>1837</f>
        <v>1837</v>
      </c>
      <c r="B1839" s="6" t="s">
        <v>4970</v>
      </c>
      <c r="C1839" s="6" t="s">
        <v>12</v>
      </c>
      <c r="D1839" s="6" t="s">
        <v>3574</v>
      </c>
      <c r="E1839" s="6" t="s">
        <v>4837</v>
      </c>
      <c r="F1839" s="6" t="s">
        <v>4971</v>
      </c>
      <c r="G1839" s="6" t="s">
        <v>16</v>
      </c>
      <c r="H1839" s="5">
        <v>5</v>
      </c>
      <c r="I1839" s="6" t="s">
        <v>4972</v>
      </c>
      <c r="J1839" s="5">
        <v>1095</v>
      </c>
    </row>
    <row r="1840" s="2" customFormat="1" spans="1:10">
      <c r="A1840" s="6">
        <f>1838</f>
        <v>1838</v>
      </c>
      <c r="B1840" s="6" t="s">
        <v>4973</v>
      </c>
      <c r="C1840" s="6" t="s">
        <v>12</v>
      </c>
      <c r="D1840" s="6" t="s">
        <v>3574</v>
      </c>
      <c r="E1840" s="6" t="s">
        <v>4837</v>
      </c>
      <c r="F1840" s="6" t="s">
        <v>4974</v>
      </c>
      <c r="G1840" s="6" t="s">
        <v>16</v>
      </c>
      <c r="H1840" s="5">
        <v>2</v>
      </c>
      <c r="I1840" s="6" t="s">
        <v>4975</v>
      </c>
      <c r="J1840" s="5">
        <v>654</v>
      </c>
    </row>
    <row r="1841" s="2" customFormat="1" spans="1:10">
      <c r="A1841" s="6">
        <f>1839</f>
        <v>1839</v>
      </c>
      <c r="B1841" s="6" t="s">
        <v>4976</v>
      </c>
      <c r="C1841" s="6" t="s">
        <v>12</v>
      </c>
      <c r="D1841" s="6" t="s">
        <v>3574</v>
      </c>
      <c r="E1841" s="6" t="s">
        <v>4837</v>
      </c>
      <c r="F1841" s="6" t="s">
        <v>4977</v>
      </c>
      <c r="G1841" s="6" t="s">
        <v>16</v>
      </c>
      <c r="H1841" s="5">
        <v>2</v>
      </c>
      <c r="I1841" s="6" t="s">
        <v>4978</v>
      </c>
      <c r="J1841" s="5">
        <v>734</v>
      </c>
    </row>
    <row r="1842" s="2" customFormat="1" spans="1:10">
      <c r="A1842" s="6">
        <f>1840</f>
        <v>1840</v>
      </c>
      <c r="B1842" s="6" t="s">
        <v>4979</v>
      </c>
      <c r="C1842" s="6" t="s">
        <v>12</v>
      </c>
      <c r="D1842" s="6" t="s">
        <v>3574</v>
      </c>
      <c r="E1842" s="6" t="s">
        <v>4837</v>
      </c>
      <c r="F1842" s="6" t="s">
        <v>4980</v>
      </c>
      <c r="G1842" s="6" t="s">
        <v>16</v>
      </c>
      <c r="H1842" s="5">
        <v>1</v>
      </c>
      <c r="I1842" s="6" t="s">
        <v>4980</v>
      </c>
      <c r="J1842" s="5">
        <v>230</v>
      </c>
    </row>
    <row r="1843" s="2" customFormat="1" spans="1:10">
      <c r="A1843" s="6">
        <f>1841</f>
        <v>1841</v>
      </c>
      <c r="B1843" s="6" t="s">
        <v>4981</v>
      </c>
      <c r="C1843" s="6" t="s">
        <v>12</v>
      </c>
      <c r="D1843" s="6" t="s">
        <v>3574</v>
      </c>
      <c r="E1843" s="6" t="s">
        <v>4837</v>
      </c>
      <c r="F1843" s="6" t="s">
        <v>4982</v>
      </c>
      <c r="G1843" s="6" t="s">
        <v>16</v>
      </c>
      <c r="H1843" s="5">
        <v>1</v>
      </c>
      <c r="I1843" s="6" t="s">
        <v>4982</v>
      </c>
      <c r="J1843" s="5">
        <v>230</v>
      </c>
    </row>
    <row r="1844" s="2" customFormat="1" spans="1:10">
      <c r="A1844" s="6">
        <f>1842</f>
        <v>1842</v>
      </c>
      <c r="B1844" s="6" t="s">
        <v>4983</v>
      </c>
      <c r="C1844" s="6" t="s">
        <v>12</v>
      </c>
      <c r="D1844" s="6" t="s">
        <v>3574</v>
      </c>
      <c r="E1844" s="6" t="s">
        <v>4837</v>
      </c>
      <c r="F1844" s="6" t="s">
        <v>4984</v>
      </c>
      <c r="G1844" s="6" t="s">
        <v>16</v>
      </c>
      <c r="H1844" s="5">
        <v>1</v>
      </c>
      <c r="I1844" s="6" t="s">
        <v>4984</v>
      </c>
      <c r="J1844" s="5">
        <v>248</v>
      </c>
    </row>
    <row r="1845" s="2" customFormat="1" ht="27" spans="1:10">
      <c r="A1845" s="6">
        <f>1843</f>
        <v>1843</v>
      </c>
      <c r="B1845" s="6" t="s">
        <v>4985</v>
      </c>
      <c r="C1845" s="6" t="s">
        <v>12</v>
      </c>
      <c r="D1845" s="6" t="s">
        <v>3574</v>
      </c>
      <c r="E1845" s="6" t="s">
        <v>4837</v>
      </c>
      <c r="F1845" s="6" t="s">
        <v>4986</v>
      </c>
      <c r="G1845" s="6" t="s">
        <v>16</v>
      </c>
      <c r="H1845" s="5">
        <v>5</v>
      </c>
      <c r="I1845" s="6" t="s">
        <v>4987</v>
      </c>
      <c r="J1845" s="5">
        <v>1265</v>
      </c>
    </row>
    <row r="1846" s="2" customFormat="1" spans="1:10">
      <c r="A1846" s="6">
        <f>1844</f>
        <v>1844</v>
      </c>
      <c r="B1846" s="6" t="s">
        <v>4988</v>
      </c>
      <c r="C1846" s="6" t="s">
        <v>12</v>
      </c>
      <c r="D1846" s="6" t="s">
        <v>3574</v>
      </c>
      <c r="E1846" s="6" t="s">
        <v>4837</v>
      </c>
      <c r="F1846" s="6" t="s">
        <v>4989</v>
      </c>
      <c r="G1846" s="6" t="s">
        <v>16</v>
      </c>
      <c r="H1846" s="5">
        <v>1</v>
      </c>
      <c r="I1846" s="6" t="s">
        <v>4989</v>
      </c>
      <c r="J1846" s="5">
        <v>263</v>
      </c>
    </row>
    <row r="1847" s="2" customFormat="1" spans="1:10">
      <c r="A1847" s="6">
        <f>1845</f>
        <v>1845</v>
      </c>
      <c r="B1847" s="6" t="s">
        <v>4990</v>
      </c>
      <c r="C1847" s="6" t="s">
        <v>12</v>
      </c>
      <c r="D1847" s="6" t="s">
        <v>3574</v>
      </c>
      <c r="E1847" s="6" t="s">
        <v>4837</v>
      </c>
      <c r="F1847" s="6" t="s">
        <v>4991</v>
      </c>
      <c r="G1847" s="6" t="s">
        <v>16</v>
      </c>
      <c r="H1847" s="5">
        <v>2</v>
      </c>
      <c r="I1847" s="6" t="s">
        <v>4992</v>
      </c>
      <c r="J1847" s="5">
        <v>470</v>
      </c>
    </row>
    <row r="1848" s="2" customFormat="1" spans="1:10">
      <c r="A1848" s="6">
        <f>1846</f>
        <v>1846</v>
      </c>
      <c r="B1848" s="6" t="s">
        <v>4993</v>
      </c>
      <c r="C1848" s="6" t="s">
        <v>12</v>
      </c>
      <c r="D1848" s="6" t="s">
        <v>3574</v>
      </c>
      <c r="E1848" s="6" t="s">
        <v>4837</v>
      </c>
      <c r="F1848" s="6" t="s">
        <v>4994</v>
      </c>
      <c r="G1848" s="6" t="s">
        <v>16</v>
      </c>
      <c r="H1848" s="5">
        <v>1</v>
      </c>
      <c r="I1848" s="6" t="s">
        <v>4994</v>
      </c>
      <c r="J1848" s="5">
        <v>373</v>
      </c>
    </row>
    <row r="1849" s="2" customFormat="1" spans="1:10">
      <c r="A1849" s="6">
        <f>1847</f>
        <v>1847</v>
      </c>
      <c r="B1849" s="6" t="s">
        <v>4995</v>
      </c>
      <c r="C1849" s="6" t="s">
        <v>12</v>
      </c>
      <c r="D1849" s="6" t="s">
        <v>3574</v>
      </c>
      <c r="E1849" s="6" t="s">
        <v>4837</v>
      </c>
      <c r="F1849" s="6" t="s">
        <v>4996</v>
      </c>
      <c r="G1849" s="6" t="s">
        <v>16</v>
      </c>
      <c r="H1849" s="5">
        <v>3</v>
      </c>
      <c r="I1849" s="6" t="s">
        <v>4997</v>
      </c>
      <c r="J1849" s="5">
        <v>834</v>
      </c>
    </row>
    <row r="1850" s="2" customFormat="1" ht="27" spans="1:10">
      <c r="A1850" s="6">
        <f>1848</f>
        <v>1848</v>
      </c>
      <c r="B1850" s="6" t="s">
        <v>4998</v>
      </c>
      <c r="C1850" s="6" t="s">
        <v>12</v>
      </c>
      <c r="D1850" s="6" t="s">
        <v>3574</v>
      </c>
      <c r="E1850" s="6" t="s">
        <v>4837</v>
      </c>
      <c r="F1850" s="6" t="s">
        <v>4999</v>
      </c>
      <c r="G1850" s="6" t="s">
        <v>16</v>
      </c>
      <c r="H1850" s="5">
        <v>4</v>
      </c>
      <c r="I1850" s="6" t="s">
        <v>5000</v>
      </c>
      <c r="J1850" s="5">
        <v>848</v>
      </c>
    </row>
    <row r="1851" s="2" customFormat="1" spans="1:10">
      <c r="A1851" s="6">
        <f>1849</f>
        <v>1849</v>
      </c>
      <c r="B1851" s="6" t="s">
        <v>5001</v>
      </c>
      <c r="C1851" s="6" t="s">
        <v>12</v>
      </c>
      <c r="D1851" s="6" t="s">
        <v>3574</v>
      </c>
      <c r="E1851" s="6" t="s">
        <v>4837</v>
      </c>
      <c r="F1851" s="6" t="s">
        <v>5002</v>
      </c>
      <c r="G1851" s="6" t="s">
        <v>16</v>
      </c>
      <c r="H1851" s="5">
        <v>2</v>
      </c>
      <c r="I1851" s="6" t="s">
        <v>5003</v>
      </c>
      <c r="J1851" s="5">
        <v>622</v>
      </c>
    </row>
    <row r="1852" s="2" customFormat="1" spans="1:10">
      <c r="A1852" s="6">
        <f>1850</f>
        <v>1850</v>
      </c>
      <c r="B1852" s="6" t="s">
        <v>5004</v>
      </c>
      <c r="C1852" s="6" t="s">
        <v>12</v>
      </c>
      <c r="D1852" s="6" t="s">
        <v>3574</v>
      </c>
      <c r="E1852" s="6" t="s">
        <v>4837</v>
      </c>
      <c r="F1852" s="6" t="s">
        <v>5005</v>
      </c>
      <c r="G1852" s="6" t="s">
        <v>16</v>
      </c>
      <c r="H1852" s="5">
        <v>1</v>
      </c>
      <c r="I1852" s="6" t="s">
        <v>5005</v>
      </c>
      <c r="J1852" s="5">
        <v>260</v>
      </c>
    </row>
    <row r="1853" s="2" customFormat="1" spans="1:10">
      <c r="A1853" s="6">
        <f>1851</f>
        <v>1851</v>
      </c>
      <c r="B1853" s="6" t="s">
        <v>5006</v>
      </c>
      <c r="C1853" s="6" t="s">
        <v>12</v>
      </c>
      <c r="D1853" s="6" t="s">
        <v>3574</v>
      </c>
      <c r="E1853" s="6" t="s">
        <v>4837</v>
      </c>
      <c r="F1853" s="6" t="s">
        <v>5007</v>
      </c>
      <c r="G1853" s="6" t="s">
        <v>16</v>
      </c>
      <c r="H1853" s="5">
        <v>1</v>
      </c>
      <c r="I1853" s="6" t="s">
        <v>5007</v>
      </c>
      <c r="J1853" s="5">
        <v>290</v>
      </c>
    </row>
    <row r="1854" s="2" customFormat="1" spans="1:10">
      <c r="A1854" s="6">
        <f>1852</f>
        <v>1852</v>
      </c>
      <c r="B1854" s="6" t="s">
        <v>5008</v>
      </c>
      <c r="C1854" s="6" t="s">
        <v>12</v>
      </c>
      <c r="D1854" s="6" t="s">
        <v>3574</v>
      </c>
      <c r="E1854" s="6" t="s">
        <v>4837</v>
      </c>
      <c r="F1854" s="6" t="s">
        <v>5009</v>
      </c>
      <c r="G1854" s="6" t="s">
        <v>16</v>
      </c>
      <c r="H1854" s="5">
        <v>3</v>
      </c>
      <c r="I1854" s="6" t="s">
        <v>5010</v>
      </c>
      <c r="J1854" s="5">
        <v>924</v>
      </c>
    </row>
    <row r="1855" s="2" customFormat="1" ht="27" spans="1:10">
      <c r="A1855" s="6">
        <f>1853</f>
        <v>1853</v>
      </c>
      <c r="B1855" s="6" t="s">
        <v>5011</v>
      </c>
      <c r="C1855" s="6" t="s">
        <v>12</v>
      </c>
      <c r="D1855" s="6" t="s">
        <v>3574</v>
      </c>
      <c r="E1855" s="6" t="s">
        <v>4837</v>
      </c>
      <c r="F1855" s="6" t="s">
        <v>5012</v>
      </c>
      <c r="G1855" s="6" t="s">
        <v>16</v>
      </c>
      <c r="H1855" s="5">
        <v>5</v>
      </c>
      <c r="I1855" s="6" t="s">
        <v>5013</v>
      </c>
      <c r="J1855" s="5">
        <v>1340</v>
      </c>
    </row>
    <row r="1856" s="2" customFormat="1" spans="1:10">
      <c r="A1856" s="6">
        <f>1854</f>
        <v>1854</v>
      </c>
      <c r="B1856" s="6" t="s">
        <v>5014</v>
      </c>
      <c r="C1856" s="6" t="s">
        <v>12</v>
      </c>
      <c r="D1856" s="6" t="s">
        <v>3574</v>
      </c>
      <c r="E1856" s="6" t="s">
        <v>4837</v>
      </c>
      <c r="F1856" s="6" t="s">
        <v>5015</v>
      </c>
      <c r="G1856" s="6" t="s">
        <v>16</v>
      </c>
      <c r="H1856" s="5">
        <v>2</v>
      </c>
      <c r="I1856" s="6" t="s">
        <v>5016</v>
      </c>
      <c r="J1856" s="5">
        <v>636</v>
      </c>
    </row>
    <row r="1857" s="2" customFormat="1" ht="27" spans="1:10">
      <c r="A1857" s="6">
        <f>1855</f>
        <v>1855</v>
      </c>
      <c r="B1857" s="6" t="s">
        <v>5017</v>
      </c>
      <c r="C1857" s="6" t="s">
        <v>12</v>
      </c>
      <c r="D1857" s="6" t="s">
        <v>3574</v>
      </c>
      <c r="E1857" s="6" t="s">
        <v>4837</v>
      </c>
      <c r="F1857" s="6" t="s">
        <v>5018</v>
      </c>
      <c r="G1857" s="6" t="s">
        <v>16</v>
      </c>
      <c r="H1857" s="5">
        <v>4</v>
      </c>
      <c r="I1857" s="6" t="s">
        <v>5019</v>
      </c>
      <c r="J1857" s="5">
        <v>880</v>
      </c>
    </row>
    <row r="1858" s="2" customFormat="1" spans="1:10">
      <c r="A1858" s="6">
        <f>1856</f>
        <v>1856</v>
      </c>
      <c r="B1858" s="6" t="s">
        <v>5020</v>
      </c>
      <c r="C1858" s="6" t="s">
        <v>12</v>
      </c>
      <c r="D1858" s="6" t="s">
        <v>3574</v>
      </c>
      <c r="E1858" s="6" t="s">
        <v>4837</v>
      </c>
      <c r="F1858" s="6" t="s">
        <v>5021</v>
      </c>
      <c r="G1858" s="6" t="s">
        <v>16</v>
      </c>
      <c r="H1858" s="5">
        <v>1</v>
      </c>
      <c r="I1858" s="6" t="s">
        <v>5021</v>
      </c>
      <c r="J1858" s="5">
        <v>283</v>
      </c>
    </row>
    <row r="1859" s="2" customFormat="1" ht="27" spans="1:10">
      <c r="A1859" s="6">
        <f>1857</f>
        <v>1857</v>
      </c>
      <c r="B1859" s="6" t="s">
        <v>5022</v>
      </c>
      <c r="C1859" s="6" t="s">
        <v>12</v>
      </c>
      <c r="D1859" s="6" t="s">
        <v>3574</v>
      </c>
      <c r="E1859" s="6" t="s">
        <v>4837</v>
      </c>
      <c r="F1859" s="6" t="s">
        <v>5023</v>
      </c>
      <c r="G1859" s="6" t="s">
        <v>16</v>
      </c>
      <c r="H1859" s="5">
        <v>4</v>
      </c>
      <c r="I1859" s="6" t="s">
        <v>5024</v>
      </c>
      <c r="J1859" s="5">
        <v>840</v>
      </c>
    </row>
    <row r="1860" s="2" customFormat="1" spans="1:10">
      <c r="A1860" s="6">
        <f>1858</f>
        <v>1858</v>
      </c>
      <c r="B1860" s="6" t="s">
        <v>5025</v>
      </c>
      <c r="C1860" s="6" t="s">
        <v>12</v>
      </c>
      <c r="D1860" s="6" t="s">
        <v>3574</v>
      </c>
      <c r="E1860" s="6" t="s">
        <v>5026</v>
      </c>
      <c r="F1860" s="6" t="s">
        <v>5027</v>
      </c>
      <c r="G1860" s="6" t="s">
        <v>16</v>
      </c>
      <c r="H1860" s="5">
        <v>1</v>
      </c>
      <c r="I1860" s="6" t="s">
        <v>5027</v>
      </c>
      <c r="J1860" s="5">
        <v>440</v>
      </c>
    </row>
    <row r="1861" s="2" customFormat="1" spans="1:10">
      <c r="A1861" s="6">
        <f>1859</f>
        <v>1859</v>
      </c>
      <c r="B1861" s="6" t="s">
        <v>5028</v>
      </c>
      <c r="C1861" s="6" t="s">
        <v>12</v>
      </c>
      <c r="D1861" s="6" t="s">
        <v>3574</v>
      </c>
      <c r="E1861" s="6" t="s">
        <v>5026</v>
      </c>
      <c r="F1861" s="6" t="s">
        <v>5029</v>
      </c>
      <c r="G1861" s="6" t="s">
        <v>16</v>
      </c>
      <c r="H1861" s="5">
        <v>3</v>
      </c>
      <c r="I1861" s="6" t="s">
        <v>5030</v>
      </c>
      <c r="J1861" s="5">
        <v>920</v>
      </c>
    </row>
    <row r="1862" s="2" customFormat="1" spans="1:10">
      <c r="A1862" s="6">
        <f>1860</f>
        <v>1860</v>
      </c>
      <c r="B1862" s="6" t="s">
        <v>5031</v>
      </c>
      <c r="C1862" s="6" t="s">
        <v>12</v>
      </c>
      <c r="D1862" s="6" t="s">
        <v>3574</v>
      </c>
      <c r="E1862" s="6" t="s">
        <v>5026</v>
      </c>
      <c r="F1862" s="6" t="s">
        <v>5032</v>
      </c>
      <c r="G1862" s="6" t="s">
        <v>16</v>
      </c>
      <c r="H1862" s="5">
        <v>3</v>
      </c>
      <c r="I1862" s="6" t="s">
        <v>5033</v>
      </c>
      <c r="J1862" s="5">
        <v>920</v>
      </c>
    </row>
    <row r="1863" s="2" customFormat="1" spans="1:10">
      <c r="A1863" s="6">
        <f>1861</f>
        <v>1861</v>
      </c>
      <c r="B1863" s="6" t="s">
        <v>5034</v>
      </c>
      <c r="C1863" s="6" t="s">
        <v>12</v>
      </c>
      <c r="D1863" s="6" t="s">
        <v>3574</v>
      </c>
      <c r="E1863" s="6" t="s">
        <v>5026</v>
      </c>
      <c r="F1863" s="6" t="s">
        <v>5035</v>
      </c>
      <c r="G1863" s="6" t="s">
        <v>16</v>
      </c>
      <c r="H1863" s="5">
        <v>1</v>
      </c>
      <c r="I1863" s="6" t="s">
        <v>5035</v>
      </c>
      <c r="J1863" s="5">
        <v>260</v>
      </c>
    </row>
    <row r="1864" s="2" customFormat="1" spans="1:10">
      <c r="A1864" s="6">
        <f>1862</f>
        <v>1862</v>
      </c>
      <c r="B1864" s="6" t="s">
        <v>5036</v>
      </c>
      <c r="C1864" s="6" t="s">
        <v>12</v>
      </c>
      <c r="D1864" s="6" t="s">
        <v>3574</v>
      </c>
      <c r="E1864" s="6" t="s">
        <v>5026</v>
      </c>
      <c r="F1864" s="6" t="s">
        <v>5037</v>
      </c>
      <c r="G1864" s="6" t="s">
        <v>16</v>
      </c>
      <c r="H1864" s="5">
        <v>1</v>
      </c>
      <c r="I1864" s="6" t="s">
        <v>5037</v>
      </c>
      <c r="J1864" s="5">
        <v>460</v>
      </c>
    </row>
    <row r="1865" s="2" customFormat="1" ht="27" spans="1:10">
      <c r="A1865" s="6">
        <f>1863</f>
        <v>1863</v>
      </c>
      <c r="B1865" s="6" t="s">
        <v>5038</v>
      </c>
      <c r="C1865" s="6" t="s">
        <v>12</v>
      </c>
      <c r="D1865" s="6" t="s">
        <v>3574</v>
      </c>
      <c r="E1865" s="6" t="s">
        <v>5026</v>
      </c>
      <c r="F1865" s="6" t="s">
        <v>5039</v>
      </c>
      <c r="G1865" s="6" t="s">
        <v>16</v>
      </c>
      <c r="H1865" s="5">
        <v>5</v>
      </c>
      <c r="I1865" s="6" t="s">
        <v>5040</v>
      </c>
      <c r="J1865" s="5">
        <v>2200</v>
      </c>
    </row>
    <row r="1866" s="2" customFormat="1" spans="1:10">
      <c r="A1866" s="6">
        <f>1864</f>
        <v>1864</v>
      </c>
      <c r="B1866" s="6" t="s">
        <v>5041</v>
      </c>
      <c r="C1866" s="6" t="s">
        <v>12</v>
      </c>
      <c r="D1866" s="6" t="s">
        <v>3574</v>
      </c>
      <c r="E1866" s="6" t="s">
        <v>5026</v>
      </c>
      <c r="F1866" s="6" t="s">
        <v>5042</v>
      </c>
      <c r="G1866" s="6" t="s">
        <v>16</v>
      </c>
      <c r="H1866" s="5">
        <v>1</v>
      </c>
      <c r="I1866" s="6" t="s">
        <v>5042</v>
      </c>
      <c r="J1866" s="5">
        <v>260</v>
      </c>
    </row>
    <row r="1867" s="2" customFormat="1" spans="1:10">
      <c r="A1867" s="6">
        <f>1865</f>
        <v>1865</v>
      </c>
      <c r="B1867" s="6" t="s">
        <v>5043</v>
      </c>
      <c r="C1867" s="6" t="s">
        <v>12</v>
      </c>
      <c r="D1867" s="6" t="s">
        <v>3574</v>
      </c>
      <c r="E1867" s="6" t="s">
        <v>5026</v>
      </c>
      <c r="F1867" s="6" t="s">
        <v>5044</v>
      </c>
      <c r="G1867" s="6" t="s">
        <v>16</v>
      </c>
      <c r="H1867" s="5">
        <v>1</v>
      </c>
      <c r="I1867" s="6" t="s">
        <v>5044</v>
      </c>
      <c r="J1867" s="5">
        <v>233</v>
      </c>
    </row>
    <row r="1868" s="2" customFormat="1" spans="1:10">
      <c r="A1868" s="6">
        <f>1866</f>
        <v>1866</v>
      </c>
      <c r="B1868" s="6" t="s">
        <v>5045</v>
      </c>
      <c r="C1868" s="6" t="s">
        <v>12</v>
      </c>
      <c r="D1868" s="6" t="s">
        <v>3574</v>
      </c>
      <c r="E1868" s="6" t="s">
        <v>5026</v>
      </c>
      <c r="F1868" s="6" t="s">
        <v>5046</v>
      </c>
      <c r="G1868" s="6" t="s">
        <v>16</v>
      </c>
      <c r="H1868" s="5">
        <v>2</v>
      </c>
      <c r="I1868" s="6" t="s">
        <v>5047</v>
      </c>
      <c r="J1868" s="5">
        <v>420</v>
      </c>
    </row>
    <row r="1869" s="2" customFormat="1" spans="1:10">
      <c r="A1869" s="6">
        <f>1867</f>
        <v>1867</v>
      </c>
      <c r="B1869" s="6" t="s">
        <v>5048</v>
      </c>
      <c r="C1869" s="6" t="s">
        <v>12</v>
      </c>
      <c r="D1869" s="6" t="s">
        <v>3574</v>
      </c>
      <c r="E1869" s="6" t="s">
        <v>5026</v>
      </c>
      <c r="F1869" s="6" t="s">
        <v>5049</v>
      </c>
      <c r="G1869" s="6" t="s">
        <v>16</v>
      </c>
      <c r="H1869" s="5">
        <v>2</v>
      </c>
      <c r="I1869" s="6" t="s">
        <v>5050</v>
      </c>
      <c r="J1869" s="5">
        <v>570</v>
      </c>
    </row>
    <row r="1870" s="2" customFormat="1" spans="1:10">
      <c r="A1870" s="6">
        <f>1868</f>
        <v>1868</v>
      </c>
      <c r="B1870" s="6" t="s">
        <v>5051</v>
      </c>
      <c r="C1870" s="6" t="s">
        <v>12</v>
      </c>
      <c r="D1870" s="6" t="s">
        <v>3574</v>
      </c>
      <c r="E1870" s="6" t="s">
        <v>5026</v>
      </c>
      <c r="F1870" s="6" t="s">
        <v>5052</v>
      </c>
      <c r="G1870" s="6" t="s">
        <v>16</v>
      </c>
      <c r="H1870" s="5">
        <v>1</v>
      </c>
      <c r="I1870" s="6" t="s">
        <v>5052</v>
      </c>
      <c r="J1870" s="5">
        <v>233</v>
      </c>
    </row>
    <row r="1871" s="2" customFormat="1" spans="1:10">
      <c r="A1871" s="6">
        <f>1869</f>
        <v>1869</v>
      </c>
      <c r="B1871" s="6" t="s">
        <v>5053</v>
      </c>
      <c r="C1871" s="6" t="s">
        <v>12</v>
      </c>
      <c r="D1871" s="6" t="s">
        <v>3574</v>
      </c>
      <c r="E1871" s="6" t="s">
        <v>5026</v>
      </c>
      <c r="F1871" s="6" t="s">
        <v>5054</v>
      </c>
      <c r="G1871" s="6" t="s">
        <v>16</v>
      </c>
      <c r="H1871" s="5">
        <v>1</v>
      </c>
      <c r="I1871" s="6" t="s">
        <v>5054</v>
      </c>
      <c r="J1871" s="5">
        <v>253</v>
      </c>
    </row>
    <row r="1872" s="2" customFormat="1" spans="1:10">
      <c r="A1872" s="6">
        <f>1870</f>
        <v>1870</v>
      </c>
      <c r="B1872" s="6" t="s">
        <v>5055</v>
      </c>
      <c r="C1872" s="6" t="s">
        <v>12</v>
      </c>
      <c r="D1872" s="6" t="s">
        <v>3574</v>
      </c>
      <c r="E1872" s="6" t="s">
        <v>5026</v>
      </c>
      <c r="F1872" s="6" t="s">
        <v>5056</v>
      </c>
      <c r="G1872" s="6" t="s">
        <v>16</v>
      </c>
      <c r="H1872" s="5">
        <v>1</v>
      </c>
      <c r="I1872" s="6" t="s">
        <v>5056</v>
      </c>
      <c r="J1872" s="5">
        <v>363</v>
      </c>
    </row>
    <row r="1873" s="2" customFormat="1" ht="27" spans="1:10">
      <c r="A1873" s="6">
        <f>1871</f>
        <v>1871</v>
      </c>
      <c r="B1873" s="6" t="s">
        <v>5057</v>
      </c>
      <c r="C1873" s="6" t="s">
        <v>12</v>
      </c>
      <c r="D1873" s="6" t="s">
        <v>3574</v>
      </c>
      <c r="E1873" s="6" t="s">
        <v>5026</v>
      </c>
      <c r="F1873" s="6" t="s">
        <v>5058</v>
      </c>
      <c r="G1873" s="6" t="s">
        <v>16</v>
      </c>
      <c r="H1873" s="5">
        <v>5</v>
      </c>
      <c r="I1873" s="6" t="s">
        <v>5059</v>
      </c>
      <c r="J1873" s="5">
        <v>500</v>
      </c>
    </row>
    <row r="1874" s="2" customFormat="1" spans="1:10">
      <c r="A1874" s="6">
        <f>1872</f>
        <v>1872</v>
      </c>
      <c r="B1874" s="6" t="s">
        <v>5060</v>
      </c>
      <c r="C1874" s="6" t="s">
        <v>12</v>
      </c>
      <c r="D1874" s="6" t="s">
        <v>3574</v>
      </c>
      <c r="E1874" s="6" t="s">
        <v>5026</v>
      </c>
      <c r="F1874" s="6" t="s">
        <v>5061</v>
      </c>
      <c r="G1874" s="6" t="s">
        <v>16</v>
      </c>
      <c r="H1874" s="5">
        <v>1</v>
      </c>
      <c r="I1874" s="6" t="s">
        <v>5061</v>
      </c>
      <c r="J1874" s="5">
        <v>233</v>
      </c>
    </row>
    <row r="1875" s="2" customFormat="1" spans="1:10">
      <c r="A1875" s="6">
        <f>1873</f>
        <v>1873</v>
      </c>
      <c r="B1875" s="6" t="s">
        <v>5062</v>
      </c>
      <c r="C1875" s="6" t="s">
        <v>12</v>
      </c>
      <c r="D1875" s="6" t="s">
        <v>3574</v>
      </c>
      <c r="E1875" s="6" t="s">
        <v>5026</v>
      </c>
      <c r="F1875" s="6" t="s">
        <v>5063</v>
      </c>
      <c r="G1875" s="6" t="s">
        <v>16</v>
      </c>
      <c r="H1875" s="5">
        <v>1</v>
      </c>
      <c r="I1875" s="6" t="s">
        <v>5063</v>
      </c>
      <c r="J1875" s="5">
        <v>260</v>
      </c>
    </row>
    <row r="1876" s="2" customFormat="1" spans="1:10">
      <c r="A1876" s="6">
        <f>1874</f>
        <v>1874</v>
      </c>
      <c r="B1876" s="6" t="s">
        <v>5064</v>
      </c>
      <c r="C1876" s="6" t="s">
        <v>12</v>
      </c>
      <c r="D1876" s="6" t="s">
        <v>3574</v>
      </c>
      <c r="E1876" s="6" t="s">
        <v>5026</v>
      </c>
      <c r="F1876" s="6" t="s">
        <v>5065</v>
      </c>
      <c r="G1876" s="6" t="s">
        <v>16</v>
      </c>
      <c r="H1876" s="5">
        <v>1</v>
      </c>
      <c r="I1876" s="6" t="s">
        <v>5065</v>
      </c>
      <c r="J1876" s="5">
        <v>160</v>
      </c>
    </row>
    <row r="1877" s="2" customFormat="1" ht="27" spans="1:10">
      <c r="A1877" s="6">
        <f>1875</f>
        <v>1875</v>
      </c>
      <c r="B1877" s="6" t="s">
        <v>5066</v>
      </c>
      <c r="C1877" s="6" t="s">
        <v>12</v>
      </c>
      <c r="D1877" s="6" t="s">
        <v>3574</v>
      </c>
      <c r="E1877" s="6" t="s">
        <v>5026</v>
      </c>
      <c r="F1877" s="6" t="s">
        <v>5067</v>
      </c>
      <c r="G1877" s="6" t="s">
        <v>16</v>
      </c>
      <c r="H1877" s="5">
        <v>6</v>
      </c>
      <c r="I1877" s="6" t="s">
        <v>5068</v>
      </c>
      <c r="J1877" s="5">
        <v>1160</v>
      </c>
    </row>
    <row r="1878" s="2" customFormat="1" spans="1:10">
      <c r="A1878" s="6">
        <f>1876</f>
        <v>1876</v>
      </c>
      <c r="B1878" s="6" t="s">
        <v>5069</v>
      </c>
      <c r="C1878" s="6" t="s">
        <v>12</v>
      </c>
      <c r="D1878" s="6" t="s">
        <v>3574</v>
      </c>
      <c r="E1878" s="6" t="s">
        <v>5026</v>
      </c>
      <c r="F1878" s="6" t="s">
        <v>5070</v>
      </c>
      <c r="G1878" s="6" t="s">
        <v>16</v>
      </c>
      <c r="H1878" s="5">
        <v>2</v>
      </c>
      <c r="I1878" s="6" t="s">
        <v>5071</v>
      </c>
      <c r="J1878" s="5">
        <v>470</v>
      </c>
    </row>
    <row r="1879" s="2" customFormat="1" spans="1:10">
      <c r="A1879" s="6">
        <f>1877</f>
        <v>1877</v>
      </c>
      <c r="B1879" s="6" t="s">
        <v>5072</v>
      </c>
      <c r="C1879" s="6" t="s">
        <v>12</v>
      </c>
      <c r="D1879" s="6" t="s">
        <v>3574</v>
      </c>
      <c r="E1879" s="6" t="s">
        <v>5026</v>
      </c>
      <c r="F1879" s="6" t="s">
        <v>5073</v>
      </c>
      <c r="G1879" s="6" t="s">
        <v>16</v>
      </c>
      <c r="H1879" s="5">
        <v>2</v>
      </c>
      <c r="I1879" s="6" t="s">
        <v>5074</v>
      </c>
      <c r="J1879" s="5">
        <v>540</v>
      </c>
    </row>
    <row r="1880" s="2" customFormat="1" spans="1:10">
      <c r="A1880" s="6">
        <f>1878</f>
        <v>1878</v>
      </c>
      <c r="B1880" s="6" t="s">
        <v>5075</v>
      </c>
      <c r="C1880" s="6" t="s">
        <v>12</v>
      </c>
      <c r="D1880" s="6" t="s">
        <v>3574</v>
      </c>
      <c r="E1880" s="6" t="s">
        <v>5026</v>
      </c>
      <c r="F1880" s="6" t="s">
        <v>5076</v>
      </c>
      <c r="G1880" s="6" t="s">
        <v>16</v>
      </c>
      <c r="H1880" s="5">
        <v>2</v>
      </c>
      <c r="I1880" s="6" t="s">
        <v>5077</v>
      </c>
      <c r="J1880" s="5">
        <v>466</v>
      </c>
    </row>
    <row r="1881" s="2" customFormat="1" ht="27" spans="1:10">
      <c r="A1881" s="6">
        <f>1879</f>
        <v>1879</v>
      </c>
      <c r="B1881" s="6" t="s">
        <v>5078</v>
      </c>
      <c r="C1881" s="6" t="s">
        <v>12</v>
      </c>
      <c r="D1881" s="6" t="s">
        <v>3574</v>
      </c>
      <c r="E1881" s="6" t="s">
        <v>5026</v>
      </c>
      <c r="F1881" s="6" t="s">
        <v>5079</v>
      </c>
      <c r="G1881" s="6" t="s">
        <v>16</v>
      </c>
      <c r="H1881" s="5">
        <v>4</v>
      </c>
      <c r="I1881" s="6" t="s">
        <v>5080</v>
      </c>
      <c r="J1881" s="5">
        <v>759</v>
      </c>
    </row>
    <row r="1882" s="2" customFormat="1" spans="1:10">
      <c r="A1882" s="6">
        <f>1880</f>
        <v>1880</v>
      </c>
      <c r="B1882" s="6" t="s">
        <v>5081</v>
      </c>
      <c r="C1882" s="6" t="s">
        <v>12</v>
      </c>
      <c r="D1882" s="6" t="s">
        <v>3574</v>
      </c>
      <c r="E1882" s="6" t="s">
        <v>5026</v>
      </c>
      <c r="F1882" s="6" t="s">
        <v>5082</v>
      </c>
      <c r="G1882" s="6" t="s">
        <v>16</v>
      </c>
      <c r="H1882" s="5">
        <v>3</v>
      </c>
      <c r="I1882" s="6" t="s">
        <v>5083</v>
      </c>
      <c r="J1882" s="5">
        <v>353</v>
      </c>
    </row>
    <row r="1883" s="2" customFormat="1" ht="27" spans="1:10">
      <c r="A1883" s="6">
        <f>1881</f>
        <v>1881</v>
      </c>
      <c r="B1883" s="6" t="s">
        <v>5084</v>
      </c>
      <c r="C1883" s="6" t="s">
        <v>12</v>
      </c>
      <c r="D1883" s="6" t="s">
        <v>3574</v>
      </c>
      <c r="E1883" s="6" t="s">
        <v>5026</v>
      </c>
      <c r="F1883" s="6" t="s">
        <v>5085</v>
      </c>
      <c r="G1883" s="6" t="s">
        <v>16</v>
      </c>
      <c r="H1883" s="5">
        <v>4</v>
      </c>
      <c r="I1883" s="6" t="s">
        <v>5086</v>
      </c>
      <c r="J1883" s="5">
        <v>1012</v>
      </c>
    </row>
    <row r="1884" s="2" customFormat="1" spans="1:10">
      <c r="A1884" s="6">
        <f>1882</f>
        <v>1882</v>
      </c>
      <c r="B1884" s="6" t="s">
        <v>5087</v>
      </c>
      <c r="C1884" s="6" t="s">
        <v>12</v>
      </c>
      <c r="D1884" s="6" t="s">
        <v>3574</v>
      </c>
      <c r="E1884" s="6" t="s">
        <v>5026</v>
      </c>
      <c r="F1884" s="6" t="s">
        <v>5088</v>
      </c>
      <c r="G1884" s="6" t="s">
        <v>16</v>
      </c>
      <c r="H1884" s="5">
        <v>2</v>
      </c>
      <c r="I1884" s="6" t="s">
        <v>5089</v>
      </c>
      <c r="J1884" s="5">
        <v>620</v>
      </c>
    </row>
    <row r="1885" s="2" customFormat="1" spans="1:10">
      <c r="A1885" s="6">
        <f>1883</f>
        <v>1883</v>
      </c>
      <c r="B1885" s="6" t="s">
        <v>5090</v>
      </c>
      <c r="C1885" s="6" t="s">
        <v>12</v>
      </c>
      <c r="D1885" s="6" t="s">
        <v>3574</v>
      </c>
      <c r="E1885" s="6" t="s">
        <v>5026</v>
      </c>
      <c r="F1885" s="6" t="s">
        <v>5091</v>
      </c>
      <c r="G1885" s="6" t="s">
        <v>16</v>
      </c>
      <c r="H1885" s="5">
        <v>1</v>
      </c>
      <c r="I1885" s="6" t="s">
        <v>5091</v>
      </c>
      <c r="J1885" s="5">
        <v>308</v>
      </c>
    </row>
    <row r="1886" s="2" customFormat="1" spans="1:10">
      <c r="A1886" s="6">
        <f>1884</f>
        <v>1884</v>
      </c>
      <c r="B1886" s="6" t="s">
        <v>5092</v>
      </c>
      <c r="C1886" s="6" t="s">
        <v>12</v>
      </c>
      <c r="D1886" s="6" t="s">
        <v>3574</v>
      </c>
      <c r="E1886" s="6" t="s">
        <v>5026</v>
      </c>
      <c r="F1886" s="6" t="s">
        <v>5093</v>
      </c>
      <c r="G1886" s="6" t="s">
        <v>16</v>
      </c>
      <c r="H1886" s="5">
        <v>1</v>
      </c>
      <c r="I1886" s="6" t="s">
        <v>5093</v>
      </c>
      <c r="J1886" s="5">
        <v>260</v>
      </c>
    </row>
    <row r="1887" s="2" customFormat="1" spans="1:10">
      <c r="A1887" s="6">
        <f>1885</f>
        <v>1885</v>
      </c>
      <c r="B1887" s="6" t="s">
        <v>5094</v>
      </c>
      <c r="C1887" s="6" t="s">
        <v>12</v>
      </c>
      <c r="D1887" s="6" t="s">
        <v>3574</v>
      </c>
      <c r="E1887" s="6" t="s">
        <v>5026</v>
      </c>
      <c r="F1887" s="6" t="s">
        <v>5095</v>
      </c>
      <c r="G1887" s="6" t="s">
        <v>16</v>
      </c>
      <c r="H1887" s="5">
        <v>3</v>
      </c>
      <c r="I1887" s="6" t="s">
        <v>5096</v>
      </c>
      <c r="J1887" s="5">
        <v>920</v>
      </c>
    </row>
    <row r="1888" s="2" customFormat="1" spans="1:10">
      <c r="A1888" s="6">
        <f>1886</f>
        <v>1886</v>
      </c>
      <c r="B1888" s="6" t="s">
        <v>5097</v>
      </c>
      <c r="C1888" s="6" t="s">
        <v>12</v>
      </c>
      <c r="D1888" s="6" t="s">
        <v>3574</v>
      </c>
      <c r="E1888" s="6" t="s">
        <v>5026</v>
      </c>
      <c r="F1888" s="6" t="s">
        <v>5098</v>
      </c>
      <c r="G1888" s="6" t="s">
        <v>16</v>
      </c>
      <c r="H1888" s="5">
        <v>1</v>
      </c>
      <c r="I1888" s="6" t="s">
        <v>5098</v>
      </c>
      <c r="J1888" s="5">
        <v>340</v>
      </c>
    </row>
    <row r="1889" s="2" customFormat="1" spans="1:10">
      <c r="A1889" s="6">
        <f>1887</f>
        <v>1887</v>
      </c>
      <c r="B1889" s="6" t="s">
        <v>5099</v>
      </c>
      <c r="C1889" s="6" t="s">
        <v>12</v>
      </c>
      <c r="D1889" s="6" t="s">
        <v>3574</v>
      </c>
      <c r="E1889" s="6" t="s">
        <v>5026</v>
      </c>
      <c r="F1889" s="6" t="s">
        <v>5100</v>
      </c>
      <c r="G1889" s="6" t="s">
        <v>16</v>
      </c>
      <c r="H1889" s="5">
        <v>1</v>
      </c>
      <c r="I1889" s="6" t="s">
        <v>5100</v>
      </c>
      <c r="J1889" s="5">
        <v>233</v>
      </c>
    </row>
    <row r="1890" s="2" customFormat="1" spans="1:10">
      <c r="A1890" s="6">
        <f>1888</f>
        <v>1888</v>
      </c>
      <c r="B1890" s="6" t="s">
        <v>5101</v>
      </c>
      <c r="C1890" s="6" t="s">
        <v>12</v>
      </c>
      <c r="D1890" s="6" t="s">
        <v>3574</v>
      </c>
      <c r="E1890" s="6" t="s">
        <v>5026</v>
      </c>
      <c r="F1890" s="6" t="s">
        <v>4429</v>
      </c>
      <c r="G1890" s="6" t="s">
        <v>16</v>
      </c>
      <c r="H1890" s="5">
        <v>3</v>
      </c>
      <c r="I1890" s="6" t="s">
        <v>5102</v>
      </c>
      <c r="J1890" s="5">
        <v>701</v>
      </c>
    </row>
    <row r="1891" s="2" customFormat="1" spans="1:10">
      <c r="A1891" s="6">
        <f>1889</f>
        <v>1889</v>
      </c>
      <c r="B1891" s="6" t="s">
        <v>5103</v>
      </c>
      <c r="C1891" s="6" t="s">
        <v>12</v>
      </c>
      <c r="D1891" s="6" t="s">
        <v>3574</v>
      </c>
      <c r="E1891" s="6" t="s">
        <v>5026</v>
      </c>
      <c r="F1891" s="6" t="s">
        <v>5104</v>
      </c>
      <c r="G1891" s="6" t="s">
        <v>16</v>
      </c>
      <c r="H1891" s="5">
        <v>1</v>
      </c>
      <c r="I1891" s="6" t="s">
        <v>5104</v>
      </c>
      <c r="J1891" s="5">
        <v>300</v>
      </c>
    </row>
    <row r="1892" s="2" customFormat="1" spans="1:10">
      <c r="A1892" s="6">
        <f>1890</f>
        <v>1890</v>
      </c>
      <c r="B1892" s="6" t="s">
        <v>5105</v>
      </c>
      <c r="C1892" s="6" t="s">
        <v>12</v>
      </c>
      <c r="D1892" s="6" t="s">
        <v>3574</v>
      </c>
      <c r="E1892" s="6" t="s">
        <v>5026</v>
      </c>
      <c r="F1892" s="6" t="s">
        <v>5106</v>
      </c>
      <c r="G1892" s="6" t="s">
        <v>16</v>
      </c>
      <c r="H1892" s="5">
        <v>2</v>
      </c>
      <c r="I1892" s="6" t="s">
        <v>5107</v>
      </c>
      <c r="J1892" s="5">
        <v>313</v>
      </c>
    </row>
    <row r="1893" s="2" customFormat="1" spans="1:10">
      <c r="A1893" s="6">
        <f>1891</f>
        <v>1891</v>
      </c>
      <c r="B1893" s="6" t="s">
        <v>5108</v>
      </c>
      <c r="C1893" s="6" t="s">
        <v>12</v>
      </c>
      <c r="D1893" s="6" t="s">
        <v>3574</v>
      </c>
      <c r="E1893" s="6" t="s">
        <v>5026</v>
      </c>
      <c r="F1893" s="6" t="s">
        <v>5109</v>
      </c>
      <c r="G1893" s="6" t="s">
        <v>16</v>
      </c>
      <c r="H1893" s="5">
        <v>2</v>
      </c>
      <c r="I1893" s="6" t="s">
        <v>5110</v>
      </c>
      <c r="J1893" s="5">
        <v>460</v>
      </c>
    </row>
    <row r="1894" s="2" customFormat="1" spans="1:10">
      <c r="A1894" s="6">
        <f>1892</f>
        <v>1892</v>
      </c>
      <c r="B1894" s="6" t="s">
        <v>5111</v>
      </c>
      <c r="C1894" s="6" t="s">
        <v>12</v>
      </c>
      <c r="D1894" s="6" t="s">
        <v>3574</v>
      </c>
      <c r="E1894" s="6" t="s">
        <v>5026</v>
      </c>
      <c r="F1894" s="6" t="s">
        <v>5112</v>
      </c>
      <c r="G1894" s="6" t="s">
        <v>16</v>
      </c>
      <c r="H1894" s="5">
        <v>1</v>
      </c>
      <c r="I1894" s="6" t="s">
        <v>5112</v>
      </c>
      <c r="J1894" s="5">
        <v>393</v>
      </c>
    </row>
    <row r="1895" s="2" customFormat="1" ht="27" spans="1:10">
      <c r="A1895" s="6">
        <f>1893</f>
        <v>1893</v>
      </c>
      <c r="B1895" s="6" t="s">
        <v>5113</v>
      </c>
      <c r="C1895" s="6" t="s">
        <v>12</v>
      </c>
      <c r="D1895" s="6" t="s">
        <v>3574</v>
      </c>
      <c r="E1895" s="6" t="s">
        <v>5026</v>
      </c>
      <c r="F1895" s="6" t="s">
        <v>5114</v>
      </c>
      <c r="G1895" s="6" t="s">
        <v>16</v>
      </c>
      <c r="H1895" s="5">
        <v>4</v>
      </c>
      <c r="I1895" s="6" t="s">
        <v>5115</v>
      </c>
      <c r="J1895" s="5">
        <v>1090</v>
      </c>
    </row>
    <row r="1896" s="2" customFormat="1" ht="27" spans="1:10">
      <c r="A1896" s="6">
        <f>1894</f>
        <v>1894</v>
      </c>
      <c r="B1896" s="6" t="s">
        <v>5116</v>
      </c>
      <c r="C1896" s="6" t="s">
        <v>12</v>
      </c>
      <c r="D1896" s="6" t="s">
        <v>3574</v>
      </c>
      <c r="E1896" s="6" t="s">
        <v>5026</v>
      </c>
      <c r="F1896" s="6" t="s">
        <v>5117</v>
      </c>
      <c r="G1896" s="6" t="s">
        <v>16</v>
      </c>
      <c r="H1896" s="5">
        <v>4</v>
      </c>
      <c r="I1896" s="6" t="s">
        <v>5118</v>
      </c>
      <c r="J1896" s="5">
        <v>960</v>
      </c>
    </row>
    <row r="1897" s="2" customFormat="1" spans="1:10">
      <c r="A1897" s="6">
        <f>1895</f>
        <v>1895</v>
      </c>
      <c r="B1897" s="6" t="s">
        <v>5119</v>
      </c>
      <c r="C1897" s="6" t="s">
        <v>12</v>
      </c>
      <c r="D1897" s="6" t="s">
        <v>3574</v>
      </c>
      <c r="E1897" s="6" t="s">
        <v>5026</v>
      </c>
      <c r="F1897" s="6" t="s">
        <v>5120</v>
      </c>
      <c r="G1897" s="6" t="s">
        <v>16</v>
      </c>
      <c r="H1897" s="5">
        <v>3</v>
      </c>
      <c r="I1897" s="6" t="s">
        <v>5121</v>
      </c>
      <c r="J1897" s="5">
        <v>750</v>
      </c>
    </row>
    <row r="1898" s="2" customFormat="1" spans="1:10">
      <c r="A1898" s="6">
        <f>1896</f>
        <v>1896</v>
      </c>
      <c r="B1898" s="6" t="s">
        <v>5122</v>
      </c>
      <c r="C1898" s="6" t="s">
        <v>12</v>
      </c>
      <c r="D1898" s="6" t="s">
        <v>3574</v>
      </c>
      <c r="E1898" s="6" t="s">
        <v>5026</v>
      </c>
      <c r="F1898" s="6" t="s">
        <v>5123</v>
      </c>
      <c r="G1898" s="6" t="s">
        <v>16</v>
      </c>
      <c r="H1898" s="5">
        <v>2</v>
      </c>
      <c r="I1898" s="6" t="s">
        <v>5124</v>
      </c>
      <c r="J1898" s="5">
        <v>470</v>
      </c>
    </row>
    <row r="1899" s="2" customFormat="1" spans="1:10">
      <c r="A1899" s="6">
        <f>1897</f>
        <v>1897</v>
      </c>
      <c r="B1899" s="6" t="s">
        <v>5125</v>
      </c>
      <c r="C1899" s="6" t="s">
        <v>12</v>
      </c>
      <c r="D1899" s="6" t="s">
        <v>3574</v>
      </c>
      <c r="E1899" s="6" t="s">
        <v>5026</v>
      </c>
      <c r="F1899" s="6" t="s">
        <v>5126</v>
      </c>
      <c r="G1899" s="6" t="s">
        <v>16</v>
      </c>
      <c r="H1899" s="5">
        <v>1</v>
      </c>
      <c r="I1899" s="6" t="s">
        <v>5126</v>
      </c>
      <c r="J1899" s="5">
        <v>233</v>
      </c>
    </row>
    <row r="1900" s="2" customFormat="1" spans="1:10">
      <c r="A1900" s="6">
        <f>1898</f>
        <v>1898</v>
      </c>
      <c r="B1900" s="6" t="s">
        <v>5127</v>
      </c>
      <c r="C1900" s="6" t="s">
        <v>12</v>
      </c>
      <c r="D1900" s="6" t="s">
        <v>3574</v>
      </c>
      <c r="E1900" s="6" t="s">
        <v>5026</v>
      </c>
      <c r="F1900" s="6" t="s">
        <v>5128</v>
      </c>
      <c r="G1900" s="6" t="s">
        <v>16</v>
      </c>
      <c r="H1900" s="5">
        <v>1</v>
      </c>
      <c r="I1900" s="6" t="s">
        <v>5128</v>
      </c>
      <c r="J1900" s="5">
        <v>233</v>
      </c>
    </row>
    <row r="1901" s="2" customFormat="1" ht="27" spans="1:10">
      <c r="A1901" s="6">
        <f>1899</f>
        <v>1899</v>
      </c>
      <c r="B1901" s="6" t="s">
        <v>5129</v>
      </c>
      <c r="C1901" s="6" t="s">
        <v>12</v>
      </c>
      <c r="D1901" s="6" t="s">
        <v>3574</v>
      </c>
      <c r="E1901" s="6" t="s">
        <v>5026</v>
      </c>
      <c r="F1901" s="6" t="s">
        <v>5130</v>
      </c>
      <c r="G1901" s="6" t="s">
        <v>16</v>
      </c>
      <c r="H1901" s="5">
        <v>4</v>
      </c>
      <c r="I1901" s="6" t="s">
        <v>5131</v>
      </c>
      <c r="J1901" s="5">
        <v>1080</v>
      </c>
    </row>
    <row r="1902" s="2" customFormat="1" spans="1:10">
      <c r="A1902" s="6">
        <f>1900</f>
        <v>1900</v>
      </c>
      <c r="B1902" s="6" t="s">
        <v>5132</v>
      </c>
      <c r="C1902" s="6" t="s">
        <v>12</v>
      </c>
      <c r="D1902" s="6" t="s">
        <v>3574</v>
      </c>
      <c r="E1902" s="6" t="s">
        <v>5026</v>
      </c>
      <c r="F1902" s="6" t="s">
        <v>5133</v>
      </c>
      <c r="G1902" s="6" t="s">
        <v>16</v>
      </c>
      <c r="H1902" s="5">
        <v>3</v>
      </c>
      <c r="I1902" s="6" t="s">
        <v>5134</v>
      </c>
      <c r="J1902" s="5">
        <v>717</v>
      </c>
    </row>
    <row r="1903" s="2" customFormat="1" spans="1:10">
      <c r="A1903" s="6">
        <f>1901</f>
        <v>1901</v>
      </c>
      <c r="B1903" s="6" t="s">
        <v>5135</v>
      </c>
      <c r="C1903" s="6" t="s">
        <v>12</v>
      </c>
      <c r="D1903" s="6" t="s">
        <v>3574</v>
      </c>
      <c r="E1903" s="6" t="s">
        <v>5026</v>
      </c>
      <c r="F1903" s="6" t="s">
        <v>5136</v>
      </c>
      <c r="G1903" s="6" t="s">
        <v>16</v>
      </c>
      <c r="H1903" s="5">
        <v>3</v>
      </c>
      <c r="I1903" s="6" t="s">
        <v>5137</v>
      </c>
      <c r="J1903" s="5">
        <v>696</v>
      </c>
    </row>
    <row r="1904" s="2" customFormat="1" spans="1:10">
      <c r="A1904" s="6">
        <f>1902</f>
        <v>1902</v>
      </c>
      <c r="B1904" s="6" t="s">
        <v>5138</v>
      </c>
      <c r="C1904" s="6" t="s">
        <v>12</v>
      </c>
      <c r="D1904" s="6" t="s">
        <v>3574</v>
      </c>
      <c r="E1904" s="6" t="s">
        <v>5026</v>
      </c>
      <c r="F1904" s="6" t="s">
        <v>5139</v>
      </c>
      <c r="G1904" s="6" t="s">
        <v>16</v>
      </c>
      <c r="H1904" s="5">
        <v>3</v>
      </c>
      <c r="I1904" s="6" t="s">
        <v>5140</v>
      </c>
      <c r="J1904" s="5">
        <v>790</v>
      </c>
    </row>
    <row r="1905" s="2" customFormat="1" spans="1:10">
      <c r="A1905" s="6">
        <f>1903</f>
        <v>1903</v>
      </c>
      <c r="B1905" s="6" t="s">
        <v>5141</v>
      </c>
      <c r="C1905" s="6" t="s">
        <v>12</v>
      </c>
      <c r="D1905" s="6" t="s">
        <v>3574</v>
      </c>
      <c r="E1905" s="6" t="s">
        <v>5026</v>
      </c>
      <c r="F1905" s="6" t="s">
        <v>5142</v>
      </c>
      <c r="G1905" s="6" t="s">
        <v>16</v>
      </c>
      <c r="H1905" s="5">
        <v>3</v>
      </c>
      <c r="I1905" s="6" t="s">
        <v>5143</v>
      </c>
      <c r="J1905" s="5">
        <v>780</v>
      </c>
    </row>
    <row r="1906" s="2" customFormat="1" spans="1:10">
      <c r="A1906" s="6">
        <f>1904</f>
        <v>1904</v>
      </c>
      <c r="B1906" s="6" t="s">
        <v>5144</v>
      </c>
      <c r="C1906" s="6" t="s">
        <v>12</v>
      </c>
      <c r="D1906" s="6" t="s">
        <v>3574</v>
      </c>
      <c r="E1906" s="6" t="s">
        <v>5026</v>
      </c>
      <c r="F1906" s="6" t="s">
        <v>5145</v>
      </c>
      <c r="G1906" s="6" t="s">
        <v>16</v>
      </c>
      <c r="H1906" s="5">
        <v>2</v>
      </c>
      <c r="I1906" s="6" t="s">
        <v>5146</v>
      </c>
      <c r="J1906" s="5">
        <v>1030</v>
      </c>
    </row>
    <row r="1907" s="2" customFormat="1" spans="1:10">
      <c r="A1907" s="6">
        <f>1905</f>
        <v>1905</v>
      </c>
      <c r="B1907" s="6" t="s">
        <v>5147</v>
      </c>
      <c r="C1907" s="6" t="s">
        <v>12</v>
      </c>
      <c r="D1907" s="6" t="s">
        <v>3574</v>
      </c>
      <c r="E1907" s="6" t="s">
        <v>5026</v>
      </c>
      <c r="F1907" s="6" t="s">
        <v>5148</v>
      </c>
      <c r="G1907" s="6" t="s">
        <v>16</v>
      </c>
      <c r="H1907" s="5">
        <v>3</v>
      </c>
      <c r="I1907" s="6" t="s">
        <v>5149</v>
      </c>
      <c r="J1907" s="5">
        <v>699</v>
      </c>
    </row>
    <row r="1908" s="2" customFormat="1" spans="1:10">
      <c r="A1908" s="6">
        <f>1906</f>
        <v>1906</v>
      </c>
      <c r="B1908" s="6" t="s">
        <v>5150</v>
      </c>
      <c r="C1908" s="6" t="s">
        <v>12</v>
      </c>
      <c r="D1908" s="6" t="s">
        <v>3574</v>
      </c>
      <c r="E1908" s="6" t="s">
        <v>5026</v>
      </c>
      <c r="F1908" s="6" t="s">
        <v>5151</v>
      </c>
      <c r="G1908" s="6" t="s">
        <v>16</v>
      </c>
      <c r="H1908" s="5">
        <v>3</v>
      </c>
      <c r="I1908" s="6" t="s">
        <v>5152</v>
      </c>
      <c r="J1908" s="5">
        <v>759</v>
      </c>
    </row>
    <row r="1909" s="2" customFormat="1" spans="1:10">
      <c r="A1909" s="6">
        <f>1907</f>
        <v>1907</v>
      </c>
      <c r="B1909" s="6" t="s">
        <v>5153</v>
      </c>
      <c r="C1909" s="6" t="s">
        <v>12</v>
      </c>
      <c r="D1909" s="6" t="s">
        <v>3574</v>
      </c>
      <c r="E1909" s="6" t="s">
        <v>5026</v>
      </c>
      <c r="F1909" s="6" t="s">
        <v>5154</v>
      </c>
      <c r="G1909" s="6" t="s">
        <v>16</v>
      </c>
      <c r="H1909" s="5">
        <v>3</v>
      </c>
      <c r="I1909" s="6" t="s">
        <v>5155</v>
      </c>
      <c r="J1909" s="5">
        <v>666</v>
      </c>
    </row>
    <row r="1910" s="2" customFormat="1" spans="1:10">
      <c r="A1910" s="6">
        <f>1908</f>
        <v>1908</v>
      </c>
      <c r="B1910" s="6" t="s">
        <v>5156</v>
      </c>
      <c r="C1910" s="6" t="s">
        <v>12</v>
      </c>
      <c r="D1910" s="6" t="s">
        <v>3574</v>
      </c>
      <c r="E1910" s="6" t="s">
        <v>5026</v>
      </c>
      <c r="F1910" s="6" t="s">
        <v>5157</v>
      </c>
      <c r="G1910" s="6" t="s">
        <v>16</v>
      </c>
      <c r="H1910" s="5">
        <v>3</v>
      </c>
      <c r="I1910" s="6" t="s">
        <v>5158</v>
      </c>
      <c r="J1910" s="5">
        <v>699</v>
      </c>
    </row>
    <row r="1911" s="2" customFormat="1" ht="27" spans="1:10">
      <c r="A1911" s="6">
        <f>1909</f>
        <v>1909</v>
      </c>
      <c r="B1911" s="6" t="s">
        <v>5159</v>
      </c>
      <c r="C1911" s="6" t="s">
        <v>12</v>
      </c>
      <c r="D1911" s="6" t="s">
        <v>3574</v>
      </c>
      <c r="E1911" s="6" t="s">
        <v>5026</v>
      </c>
      <c r="F1911" s="6" t="s">
        <v>5160</v>
      </c>
      <c r="G1911" s="6" t="s">
        <v>16</v>
      </c>
      <c r="H1911" s="5">
        <v>5</v>
      </c>
      <c r="I1911" s="6" t="s">
        <v>5161</v>
      </c>
      <c r="J1911" s="5">
        <v>1330</v>
      </c>
    </row>
    <row r="1912" s="2" customFormat="1" ht="27" spans="1:10">
      <c r="A1912" s="6">
        <f>1910</f>
        <v>1910</v>
      </c>
      <c r="B1912" s="6" t="s">
        <v>5162</v>
      </c>
      <c r="C1912" s="6" t="s">
        <v>12</v>
      </c>
      <c r="D1912" s="6" t="s">
        <v>3574</v>
      </c>
      <c r="E1912" s="6" t="s">
        <v>5026</v>
      </c>
      <c r="F1912" s="6" t="s">
        <v>5163</v>
      </c>
      <c r="G1912" s="6" t="s">
        <v>16</v>
      </c>
      <c r="H1912" s="5">
        <v>4</v>
      </c>
      <c r="I1912" s="6" t="s">
        <v>5164</v>
      </c>
      <c r="J1912" s="5">
        <v>1120</v>
      </c>
    </row>
    <row r="1913" s="2" customFormat="1" ht="27" spans="1:10">
      <c r="A1913" s="6">
        <f>1911</f>
        <v>1911</v>
      </c>
      <c r="B1913" s="6" t="s">
        <v>5165</v>
      </c>
      <c r="C1913" s="6" t="s">
        <v>12</v>
      </c>
      <c r="D1913" s="6" t="s">
        <v>3574</v>
      </c>
      <c r="E1913" s="6" t="s">
        <v>5026</v>
      </c>
      <c r="F1913" s="6" t="s">
        <v>5166</v>
      </c>
      <c r="G1913" s="6" t="s">
        <v>16</v>
      </c>
      <c r="H1913" s="5">
        <v>4</v>
      </c>
      <c r="I1913" s="6" t="s">
        <v>5167</v>
      </c>
      <c r="J1913" s="5">
        <v>920</v>
      </c>
    </row>
    <row r="1914" s="2" customFormat="1" spans="1:10">
      <c r="A1914" s="6">
        <f>1912</f>
        <v>1912</v>
      </c>
      <c r="B1914" s="6" t="s">
        <v>5168</v>
      </c>
      <c r="C1914" s="6" t="s">
        <v>12</v>
      </c>
      <c r="D1914" s="6" t="s">
        <v>3574</v>
      </c>
      <c r="E1914" s="6" t="s">
        <v>5026</v>
      </c>
      <c r="F1914" s="6" t="s">
        <v>5169</v>
      </c>
      <c r="G1914" s="6" t="s">
        <v>16</v>
      </c>
      <c r="H1914" s="5">
        <v>1</v>
      </c>
      <c r="I1914" s="6" t="s">
        <v>5169</v>
      </c>
      <c r="J1914" s="5">
        <v>252</v>
      </c>
    </row>
    <row r="1915" s="2" customFormat="1" ht="27" spans="1:10">
      <c r="A1915" s="6">
        <f>1913</f>
        <v>1913</v>
      </c>
      <c r="B1915" s="6" t="s">
        <v>5170</v>
      </c>
      <c r="C1915" s="6" t="s">
        <v>12</v>
      </c>
      <c r="D1915" s="6" t="s">
        <v>3574</v>
      </c>
      <c r="E1915" s="6" t="s">
        <v>5026</v>
      </c>
      <c r="F1915" s="6" t="s">
        <v>5171</v>
      </c>
      <c r="G1915" s="6" t="s">
        <v>16</v>
      </c>
      <c r="H1915" s="5">
        <v>5</v>
      </c>
      <c r="I1915" s="6" t="s">
        <v>5172</v>
      </c>
      <c r="J1915" s="5">
        <v>1550</v>
      </c>
    </row>
    <row r="1916" s="2" customFormat="1" ht="27" spans="1:10">
      <c r="A1916" s="6">
        <f>1914</f>
        <v>1914</v>
      </c>
      <c r="B1916" s="6" t="s">
        <v>5173</v>
      </c>
      <c r="C1916" s="6" t="s">
        <v>12</v>
      </c>
      <c r="D1916" s="6" t="s">
        <v>3574</v>
      </c>
      <c r="E1916" s="6" t="s">
        <v>5026</v>
      </c>
      <c r="F1916" s="6" t="s">
        <v>5174</v>
      </c>
      <c r="G1916" s="6" t="s">
        <v>16</v>
      </c>
      <c r="H1916" s="5">
        <v>4</v>
      </c>
      <c r="I1916" s="6" t="s">
        <v>5175</v>
      </c>
      <c r="J1916" s="5">
        <v>413</v>
      </c>
    </row>
    <row r="1917" s="2" customFormat="1" ht="27" spans="1:10">
      <c r="A1917" s="6">
        <f>1915</f>
        <v>1915</v>
      </c>
      <c r="B1917" s="6" t="s">
        <v>5176</v>
      </c>
      <c r="C1917" s="6" t="s">
        <v>12</v>
      </c>
      <c r="D1917" s="6" t="s">
        <v>3574</v>
      </c>
      <c r="E1917" s="6" t="s">
        <v>5026</v>
      </c>
      <c r="F1917" s="6" t="s">
        <v>5177</v>
      </c>
      <c r="G1917" s="6" t="s">
        <v>16</v>
      </c>
      <c r="H1917" s="5">
        <v>4</v>
      </c>
      <c r="I1917" s="6" t="s">
        <v>5178</v>
      </c>
      <c r="J1917" s="5">
        <v>1100</v>
      </c>
    </row>
    <row r="1918" s="2" customFormat="1" spans="1:10">
      <c r="A1918" s="6">
        <f>1916</f>
        <v>1916</v>
      </c>
      <c r="B1918" s="6" t="s">
        <v>5179</v>
      </c>
      <c r="C1918" s="6" t="s">
        <v>12</v>
      </c>
      <c r="D1918" s="6" t="s">
        <v>3574</v>
      </c>
      <c r="E1918" s="6" t="s">
        <v>5026</v>
      </c>
      <c r="F1918" s="6" t="s">
        <v>5180</v>
      </c>
      <c r="G1918" s="6" t="s">
        <v>16</v>
      </c>
      <c r="H1918" s="5">
        <v>1</v>
      </c>
      <c r="I1918" s="6" t="s">
        <v>5180</v>
      </c>
      <c r="J1918" s="5">
        <v>233</v>
      </c>
    </row>
    <row r="1919" s="2" customFormat="1" spans="1:10">
      <c r="A1919" s="6">
        <f>1917</f>
        <v>1917</v>
      </c>
      <c r="B1919" s="6" t="s">
        <v>5181</v>
      </c>
      <c r="C1919" s="6" t="s">
        <v>12</v>
      </c>
      <c r="D1919" s="6" t="s">
        <v>3574</v>
      </c>
      <c r="E1919" s="6" t="s">
        <v>5026</v>
      </c>
      <c r="F1919" s="6" t="s">
        <v>5182</v>
      </c>
      <c r="G1919" s="6" t="s">
        <v>16</v>
      </c>
      <c r="H1919" s="5">
        <v>1</v>
      </c>
      <c r="I1919" s="6" t="s">
        <v>5182</v>
      </c>
      <c r="J1919" s="5">
        <v>308</v>
      </c>
    </row>
    <row r="1920" s="2" customFormat="1" spans="1:10">
      <c r="A1920" s="6">
        <f>1918</f>
        <v>1918</v>
      </c>
      <c r="B1920" s="6" t="s">
        <v>5183</v>
      </c>
      <c r="C1920" s="6" t="s">
        <v>12</v>
      </c>
      <c r="D1920" s="6" t="s">
        <v>3574</v>
      </c>
      <c r="E1920" s="6" t="s">
        <v>5026</v>
      </c>
      <c r="F1920" s="6" t="s">
        <v>5184</v>
      </c>
      <c r="G1920" s="6" t="s">
        <v>16</v>
      </c>
      <c r="H1920" s="5">
        <v>1</v>
      </c>
      <c r="I1920" s="6" t="s">
        <v>5184</v>
      </c>
      <c r="J1920" s="5">
        <v>233</v>
      </c>
    </row>
    <row r="1921" s="2" customFormat="1" spans="1:10">
      <c r="A1921" s="6">
        <f>1919</f>
        <v>1919</v>
      </c>
      <c r="B1921" s="6" t="s">
        <v>5185</v>
      </c>
      <c r="C1921" s="6" t="s">
        <v>12</v>
      </c>
      <c r="D1921" s="6" t="s">
        <v>3574</v>
      </c>
      <c r="E1921" s="6" t="s">
        <v>5026</v>
      </c>
      <c r="F1921" s="6" t="s">
        <v>5186</v>
      </c>
      <c r="G1921" s="6" t="s">
        <v>16</v>
      </c>
      <c r="H1921" s="5">
        <v>3</v>
      </c>
      <c r="I1921" s="6" t="s">
        <v>5187</v>
      </c>
      <c r="J1921" s="5">
        <v>513</v>
      </c>
    </row>
    <row r="1922" s="2" customFormat="1" ht="27" spans="1:10">
      <c r="A1922" s="6">
        <f>1920</f>
        <v>1920</v>
      </c>
      <c r="B1922" s="6" t="s">
        <v>5188</v>
      </c>
      <c r="C1922" s="6" t="s">
        <v>12</v>
      </c>
      <c r="D1922" s="6" t="s">
        <v>3574</v>
      </c>
      <c r="E1922" s="6" t="s">
        <v>5026</v>
      </c>
      <c r="F1922" s="6" t="s">
        <v>5189</v>
      </c>
      <c r="G1922" s="6" t="s">
        <v>16</v>
      </c>
      <c r="H1922" s="5">
        <v>4</v>
      </c>
      <c r="I1922" s="6" t="s">
        <v>5190</v>
      </c>
      <c r="J1922" s="5">
        <v>440</v>
      </c>
    </row>
    <row r="1923" s="2" customFormat="1" spans="1:10">
      <c r="A1923" s="6">
        <f>1921</f>
        <v>1921</v>
      </c>
      <c r="B1923" s="6" t="s">
        <v>5191</v>
      </c>
      <c r="C1923" s="6" t="s">
        <v>12</v>
      </c>
      <c r="D1923" s="6" t="s">
        <v>3574</v>
      </c>
      <c r="E1923" s="6" t="s">
        <v>5026</v>
      </c>
      <c r="F1923" s="6" t="s">
        <v>5192</v>
      </c>
      <c r="G1923" s="6" t="s">
        <v>16</v>
      </c>
      <c r="H1923" s="5">
        <v>3</v>
      </c>
      <c r="I1923" s="6" t="s">
        <v>5193</v>
      </c>
      <c r="J1923" s="5">
        <v>699</v>
      </c>
    </row>
    <row r="1924" s="2" customFormat="1" spans="1:10">
      <c r="A1924" s="6">
        <f>1922</f>
        <v>1922</v>
      </c>
      <c r="B1924" s="6" t="s">
        <v>5194</v>
      </c>
      <c r="C1924" s="6" t="s">
        <v>12</v>
      </c>
      <c r="D1924" s="6" t="s">
        <v>3574</v>
      </c>
      <c r="E1924" s="6" t="s">
        <v>5026</v>
      </c>
      <c r="F1924" s="6" t="s">
        <v>5195</v>
      </c>
      <c r="G1924" s="6" t="s">
        <v>16</v>
      </c>
      <c r="H1924" s="5">
        <v>1</v>
      </c>
      <c r="I1924" s="6" t="s">
        <v>5195</v>
      </c>
      <c r="J1924" s="5">
        <v>233</v>
      </c>
    </row>
    <row r="1925" s="2" customFormat="1" spans="1:10">
      <c r="A1925" s="6">
        <f>1923</f>
        <v>1923</v>
      </c>
      <c r="B1925" s="6" t="s">
        <v>5196</v>
      </c>
      <c r="C1925" s="6" t="s">
        <v>12</v>
      </c>
      <c r="D1925" s="6" t="s">
        <v>3574</v>
      </c>
      <c r="E1925" s="6" t="s">
        <v>5026</v>
      </c>
      <c r="F1925" s="6" t="s">
        <v>5197</v>
      </c>
      <c r="G1925" s="6" t="s">
        <v>16</v>
      </c>
      <c r="H1925" s="5">
        <v>2</v>
      </c>
      <c r="I1925" s="6" t="s">
        <v>5198</v>
      </c>
      <c r="J1925" s="5">
        <v>466</v>
      </c>
    </row>
    <row r="1926" s="2" customFormat="1" ht="27" spans="1:10">
      <c r="A1926" s="6">
        <f>1924</f>
        <v>1924</v>
      </c>
      <c r="B1926" s="6" t="s">
        <v>5199</v>
      </c>
      <c r="C1926" s="6" t="s">
        <v>12</v>
      </c>
      <c r="D1926" s="6" t="s">
        <v>3574</v>
      </c>
      <c r="E1926" s="6" t="s">
        <v>5026</v>
      </c>
      <c r="F1926" s="6" t="s">
        <v>5200</v>
      </c>
      <c r="G1926" s="6" t="s">
        <v>16</v>
      </c>
      <c r="H1926" s="5">
        <v>6</v>
      </c>
      <c r="I1926" s="6" t="s">
        <v>5201</v>
      </c>
      <c r="J1926" s="5">
        <v>910</v>
      </c>
    </row>
    <row r="1927" s="2" customFormat="1" ht="27" spans="1:10">
      <c r="A1927" s="6">
        <f>1925</f>
        <v>1925</v>
      </c>
      <c r="B1927" s="6" t="s">
        <v>5202</v>
      </c>
      <c r="C1927" s="6" t="s">
        <v>12</v>
      </c>
      <c r="D1927" s="6" t="s">
        <v>3574</v>
      </c>
      <c r="E1927" s="6" t="s">
        <v>5026</v>
      </c>
      <c r="F1927" s="6" t="s">
        <v>5203</v>
      </c>
      <c r="G1927" s="6" t="s">
        <v>16</v>
      </c>
      <c r="H1927" s="5">
        <v>4</v>
      </c>
      <c r="I1927" s="6" t="s">
        <v>5204</v>
      </c>
      <c r="J1927" s="5">
        <v>1005</v>
      </c>
    </row>
    <row r="1928" s="2" customFormat="1" spans="1:10">
      <c r="A1928" s="6">
        <f>1926</f>
        <v>1926</v>
      </c>
      <c r="B1928" s="6" t="s">
        <v>5205</v>
      </c>
      <c r="C1928" s="6" t="s">
        <v>12</v>
      </c>
      <c r="D1928" s="6" t="s">
        <v>3574</v>
      </c>
      <c r="E1928" s="6" t="s">
        <v>5026</v>
      </c>
      <c r="F1928" s="6" t="s">
        <v>5206</v>
      </c>
      <c r="G1928" s="6" t="s">
        <v>16</v>
      </c>
      <c r="H1928" s="5">
        <v>2</v>
      </c>
      <c r="I1928" s="6" t="s">
        <v>5207</v>
      </c>
      <c r="J1928" s="5">
        <v>506</v>
      </c>
    </row>
    <row r="1929" s="2" customFormat="1" spans="1:10">
      <c r="A1929" s="6">
        <f>1927</f>
        <v>1927</v>
      </c>
      <c r="B1929" s="6" t="s">
        <v>5208</v>
      </c>
      <c r="C1929" s="6" t="s">
        <v>12</v>
      </c>
      <c r="D1929" s="6" t="s">
        <v>3574</v>
      </c>
      <c r="E1929" s="6" t="s">
        <v>5026</v>
      </c>
      <c r="F1929" s="6" t="s">
        <v>5209</v>
      </c>
      <c r="G1929" s="6" t="s">
        <v>16</v>
      </c>
      <c r="H1929" s="5">
        <v>3</v>
      </c>
      <c r="I1929" s="6" t="s">
        <v>5210</v>
      </c>
      <c r="J1929" s="5">
        <v>699</v>
      </c>
    </row>
    <row r="1930" s="2" customFormat="1" ht="27" spans="1:10">
      <c r="A1930" s="6">
        <f>1928</f>
        <v>1928</v>
      </c>
      <c r="B1930" s="6" t="s">
        <v>5211</v>
      </c>
      <c r="C1930" s="6" t="s">
        <v>12</v>
      </c>
      <c r="D1930" s="6" t="s">
        <v>3574</v>
      </c>
      <c r="E1930" s="6" t="s">
        <v>5026</v>
      </c>
      <c r="F1930" s="6" t="s">
        <v>5212</v>
      </c>
      <c r="G1930" s="6" t="s">
        <v>16</v>
      </c>
      <c r="H1930" s="5">
        <v>4</v>
      </c>
      <c r="I1930" s="6" t="s">
        <v>5213</v>
      </c>
      <c r="J1930" s="5">
        <v>960</v>
      </c>
    </row>
    <row r="1931" s="2" customFormat="1" spans="1:10">
      <c r="A1931" s="6">
        <f>1929</f>
        <v>1929</v>
      </c>
      <c r="B1931" s="6" t="s">
        <v>5214</v>
      </c>
      <c r="C1931" s="6" t="s">
        <v>12</v>
      </c>
      <c r="D1931" s="6" t="s">
        <v>3574</v>
      </c>
      <c r="E1931" s="6" t="s">
        <v>5026</v>
      </c>
      <c r="F1931" s="6" t="s">
        <v>5215</v>
      </c>
      <c r="G1931" s="6" t="s">
        <v>16</v>
      </c>
      <c r="H1931" s="5">
        <v>1</v>
      </c>
      <c r="I1931" s="6" t="s">
        <v>5215</v>
      </c>
      <c r="J1931" s="5">
        <v>440</v>
      </c>
    </row>
    <row r="1932" s="2" customFormat="1" spans="1:10">
      <c r="A1932" s="6">
        <f>1930</f>
        <v>1930</v>
      </c>
      <c r="B1932" s="6" t="s">
        <v>5216</v>
      </c>
      <c r="C1932" s="6" t="s">
        <v>12</v>
      </c>
      <c r="D1932" s="6" t="s">
        <v>3574</v>
      </c>
      <c r="E1932" s="6" t="s">
        <v>5026</v>
      </c>
      <c r="F1932" s="6" t="s">
        <v>5217</v>
      </c>
      <c r="G1932" s="6" t="s">
        <v>16</v>
      </c>
      <c r="H1932" s="5">
        <v>1</v>
      </c>
      <c r="I1932" s="6" t="s">
        <v>5217</v>
      </c>
      <c r="J1932" s="5">
        <v>233</v>
      </c>
    </row>
    <row r="1933" s="2" customFormat="1" spans="1:10">
      <c r="A1933" s="6">
        <f>1931</f>
        <v>1931</v>
      </c>
      <c r="B1933" s="6" t="s">
        <v>5218</v>
      </c>
      <c r="C1933" s="6" t="s">
        <v>12</v>
      </c>
      <c r="D1933" s="6" t="s">
        <v>3574</v>
      </c>
      <c r="E1933" s="6" t="s">
        <v>5026</v>
      </c>
      <c r="F1933" s="6" t="s">
        <v>5219</v>
      </c>
      <c r="G1933" s="6" t="s">
        <v>16</v>
      </c>
      <c r="H1933" s="5">
        <v>2</v>
      </c>
      <c r="I1933" s="6" t="s">
        <v>5220</v>
      </c>
      <c r="J1933" s="5">
        <v>320</v>
      </c>
    </row>
    <row r="1934" s="2" customFormat="1" spans="1:10">
      <c r="A1934" s="6">
        <f>1932</f>
        <v>1932</v>
      </c>
      <c r="B1934" s="6" t="s">
        <v>5221</v>
      </c>
      <c r="C1934" s="6" t="s">
        <v>12</v>
      </c>
      <c r="D1934" s="6" t="s">
        <v>3574</v>
      </c>
      <c r="E1934" s="6" t="s">
        <v>5026</v>
      </c>
      <c r="F1934" s="6" t="s">
        <v>5222</v>
      </c>
      <c r="G1934" s="6" t="s">
        <v>16</v>
      </c>
      <c r="H1934" s="5">
        <v>1</v>
      </c>
      <c r="I1934" s="6" t="s">
        <v>5222</v>
      </c>
      <c r="J1934" s="5">
        <v>393</v>
      </c>
    </row>
    <row r="1935" s="2" customFormat="1" spans="1:10">
      <c r="A1935" s="6">
        <f>1933</f>
        <v>1933</v>
      </c>
      <c r="B1935" s="6" t="s">
        <v>5223</v>
      </c>
      <c r="C1935" s="6" t="s">
        <v>12</v>
      </c>
      <c r="D1935" s="6" t="s">
        <v>3574</v>
      </c>
      <c r="E1935" s="6" t="s">
        <v>5026</v>
      </c>
      <c r="F1935" s="6" t="s">
        <v>5224</v>
      </c>
      <c r="G1935" s="6" t="s">
        <v>16</v>
      </c>
      <c r="H1935" s="5">
        <v>1</v>
      </c>
      <c r="I1935" s="6" t="s">
        <v>5224</v>
      </c>
      <c r="J1935" s="5">
        <v>260</v>
      </c>
    </row>
    <row r="1936" s="2" customFormat="1" spans="1:10">
      <c r="A1936" s="6">
        <f>1934</f>
        <v>1934</v>
      </c>
      <c r="B1936" s="6" t="s">
        <v>5225</v>
      </c>
      <c r="C1936" s="6" t="s">
        <v>12</v>
      </c>
      <c r="D1936" s="6" t="s">
        <v>3574</v>
      </c>
      <c r="E1936" s="6" t="s">
        <v>5026</v>
      </c>
      <c r="F1936" s="6" t="s">
        <v>5226</v>
      </c>
      <c r="G1936" s="6" t="s">
        <v>16</v>
      </c>
      <c r="H1936" s="5">
        <v>1</v>
      </c>
      <c r="I1936" s="6" t="s">
        <v>5226</v>
      </c>
      <c r="J1936" s="5">
        <v>520</v>
      </c>
    </row>
    <row r="1937" s="2" customFormat="1" spans="1:10">
      <c r="A1937" s="6">
        <f>1935</f>
        <v>1935</v>
      </c>
      <c r="B1937" s="6" t="s">
        <v>5227</v>
      </c>
      <c r="C1937" s="6" t="s">
        <v>12</v>
      </c>
      <c r="D1937" s="6" t="s">
        <v>3574</v>
      </c>
      <c r="E1937" s="6" t="s">
        <v>5026</v>
      </c>
      <c r="F1937" s="6" t="s">
        <v>5228</v>
      </c>
      <c r="G1937" s="6" t="s">
        <v>16</v>
      </c>
      <c r="H1937" s="5">
        <v>1</v>
      </c>
      <c r="I1937" s="6" t="s">
        <v>5228</v>
      </c>
      <c r="J1937" s="5">
        <v>260</v>
      </c>
    </row>
    <row r="1938" s="2" customFormat="1" spans="1:10">
      <c r="A1938" s="6">
        <f>1936</f>
        <v>1936</v>
      </c>
      <c r="B1938" s="6" t="s">
        <v>5229</v>
      </c>
      <c r="C1938" s="6" t="s">
        <v>12</v>
      </c>
      <c r="D1938" s="6" t="s">
        <v>3574</v>
      </c>
      <c r="E1938" s="6" t="s">
        <v>5026</v>
      </c>
      <c r="F1938" s="6" t="s">
        <v>5230</v>
      </c>
      <c r="G1938" s="6" t="s">
        <v>16</v>
      </c>
      <c r="H1938" s="5">
        <v>1</v>
      </c>
      <c r="I1938" s="6" t="s">
        <v>5230</v>
      </c>
      <c r="J1938" s="5">
        <v>253</v>
      </c>
    </row>
    <row r="1939" s="2" customFormat="1" ht="27" spans="1:10">
      <c r="A1939" s="6">
        <f>1937</f>
        <v>1937</v>
      </c>
      <c r="B1939" s="6" t="s">
        <v>5231</v>
      </c>
      <c r="C1939" s="6" t="s">
        <v>12</v>
      </c>
      <c r="D1939" s="6" t="s">
        <v>3574</v>
      </c>
      <c r="E1939" s="6" t="s">
        <v>5026</v>
      </c>
      <c r="F1939" s="6" t="s">
        <v>5232</v>
      </c>
      <c r="G1939" s="6" t="s">
        <v>16</v>
      </c>
      <c r="H1939" s="5">
        <v>4</v>
      </c>
      <c r="I1939" s="6" t="s">
        <v>5233</v>
      </c>
      <c r="J1939" s="5">
        <v>1070</v>
      </c>
    </row>
    <row r="1940" s="2" customFormat="1" spans="1:10">
      <c r="A1940" s="6">
        <f>1938</f>
        <v>1938</v>
      </c>
      <c r="B1940" s="6" t="s">
        <v>5234</v>
      </c>
      <c r="C1940" s="6" t="s">
        <v>12</v>
      </c>
      <c r="D1940" s="6" t="s">
        <v>3574</v>
      </c>
      <c r="E1940" s="6" t="s">
        <v>5026</v>
      </c>
      <c r="F1940" s="6" t="s">
        <v>5235</v>
      </c>
      <c r="G1940" s="6" t="s">
        <v>16</v>
      </c>
      <c r="H1940" s="5">
        <v>2</v>
      </c>
      <c r="I1940" s="6" t="s">
        <v>5236</v>
      </c>
      <c r="J1940" s="5">
        <v>560</v>
      </c>
    </row>
    <row r="1941" s="2" customFormat="1" ht="27" spans="1:10">
      <c r="A1941" s="6">
        <f>1939</f>
        <v>1939</v>
      </c>
      <c r="B1941" s="6" t="s">
        <v>5237</v>
      </c>
      <c r="C1941" s="6" t="s">
        <v>12</v>
      </c>
      <c r="D1941" s="6" t="s">
        <v>3574</v>
      </c>
      <c r="E1941" s="6" t="s">
        <v>5026</v>
      </c>
      <c r="F1941" s="6" t="s">
        <v>5238</v>
      </c>
      <c r="G1941" s="6" t="s">
        <v>16</v>
      </c>
      <c r="H1941" s="5">
        <v>4</v>
      </c>
      <c r="I1941" s="6" t="s">
        <v>5239</v>
      </c>
      <c r="J1941" s="5">
        <v>1400</v>
      </c>
    </row>
    <row r="1942" s="2" customFormat="1" ht="27" spans="1:10">
      <c r="A1942" s="6">
        <f>1940</f>
        <v>1940</v>
      </c>
      <c r="B1942" s="6" t="s">
        <v>5240</v>
      </c>
      <c r="C1942" s="6" t="s">
        <v>12</v>
      </c>
      <c r="D1942" s="6" t="s">
        <v>3574</v>
      </c>
      <c r="E1942" s="6" t="s">
        <v>5026</v>
      </c>
      <c r="F1942" s="6" t="s">
        <v>5241</v>
      </c>
      <c r="G1942" s="6" t="s">
        <v>16</v>
      </c>
      <c r="H1942" s="5">
        <v>4</v>
      </c>
      <c r="I1942" s="6" t="s">
        <v>5242</v>
      </c>
      <c r="J1942" s="5">
        <v>1000</v>
      </c>
    </row>
    <row r="1943" s="2" customFormat="1" spans="1:10">
      <c r="A1943" s="6">
        <f>1941</f>
        <v>1941</v>
      </c>
      <c r="B1943" s="6" t="s">
        <v>5243</v>
      </c>
      <c r="C1943" s="6" t="s">
        <v>12</v>
      </c>
      <c r="D1943" s="6" t="s">
        <v>3574</v>
      </c>
      <c r="E1943" s="6" t="s">
        <v>5244</v>
      </c>
      <c r="F1943" s="6" t="s">
        <v>5245</v>
      </c>
      <c r="G1943" s="6" t="s">
        <v>16</v>
      </c>
      <c r="H1943" s="5">
        <v>2</v>
      </c>
      <c r="I1943" s="6" t="s">
        <v>5246</v>
      </c>
      <c r="J1943" s="5">
        <v>720</v>
      </c>
    </row>
    <row r="1944" s="2" customFormat="1" spans="1:10">
      <c r="A1944" s="6">
        <f>1942</f>
        <v>1942</v>
      </c>
      <c r="B1944" s="6" t="s">
        <v>5247</v>
      </c>
      <c r="C1944" s="6" t="s">
        <v>12</v>
      </c>
      <c r="D1944" s="6" t="s">
        <v>3574</v>
      </c>
      <c r="E1944" s="6" t="s">
        <v>5244</v>
      </c>
      <c r="F1944" s="6" t="s">
        <v>5248</v>
      </c>
      <c r="G1944" s="6" t="s">
        <v>16</v>
      </c>
      <c r="H1944" s="5">
        <v>1</v>
      </c>
      <c r="I1944" s="6" t="s">
        <v>5248</v>
      </c>
      <c r="J1944" s="5">
        <v>360</v>
      </c>
    </row>
    <row r="1945" s="2" customFormat="1" spans="1:10">
      <c r="A1945" s="6">
        <f>1943</f>
        <v>1943</v>
      </c>
      <c r="B1945" s="6" t="s">
        <v>5249</v>
      </c>
      <c r="C1945" s="6" t="s">
        <v>12</v>
      </c>
      <c r="D1945" s="6" t="s">
        <v>3574</v>
      </c>
      <c r="E1945" s="6" t="s">
        <v>5244</v>
      </c>
      <c r="F1945" s="6" t="s">
        <v>5250</v>
      </c>
      <c r="G1945" s="6" t="s">
        <v>16</v>
      </c>
      <c r="H1945" s="5">
        <v>3</v>
      </c>
      <c r="I1945" s="6" t="s">
        <v>5251</v>
      </c>
      <c r="J1945" s="5">
        <v>680</v>
      </c>
    </row>
    <row r="1946" s="2" customFormat="1" spans="1:10">
      <c r="A1946" s="6">
        <f>1944</f>
        <v>1944</v>
      </c>
      <c r="B1946" s="6" t="s">
        <v>5252</v>
      </c>
      <c r="C1946" s="6" t="s">
        <v>12</v>
      </c>
      <c r="D1946" s="6" t="s">
        <v>3574</v>
      </c>
      <c r="E1946" s="6" t="s">
        <v>5244</v>
      </c>
      <c r="F1946" s="6" t="s">
        <v>5253</v>
      </c>
      <c r="G1946" s="6" t="s">
        <v>16</v>
      </c>
      <c r="H1946" s="5">
        <v>3</v>
      </c>
      <c r="I1946" s="6" t="s">
        <v>5254</v>
      </c>
      <c r="J1946" s="5">
        <v>630</v>
      </c>
    </row>
    <row r="1947" s="2" customFormat="1" spans="1:10">
      <c r="A1947" s="6">
        <f>1945</f>
        <v>1945</v>
      </c>
      <c r="B1947" s="6" t="s">
        <v>5255</v>
      </c>
      <c r="C1947" s="6" t="s">
        <v>12</v>
      </c>
      <c r="D1947" s="6" t="s">
        <v>3574</v>
      </c>
      <c r="E1947" s="6" t="s">
        <v>5244</v>
      </c>
      <c r="F1947" s="6" t="s">
        <v>5256</v>
      </c>
      <c r="G1947" s="6" t="s">
        <v>16</v>
      </c>
      <c r="H1947" s="5">
        <v>1</v>
      </c>
      <c r="I1947" s="6" t="s">
        <v>5256</v>
      </c>
      <c r="J1947" s="5">
        <v>440</v>
      </c>
    </row>
    <row r="1948" s="2" customFormat="1" spans="1:10">
      <c r="A1948" s="6">
        <f>1946</f>
        <v>1946</v>
      </c>
      <c r="B1948" s="6" t="s">
        <v>5257</v>
      </c>
      <c r="C1948" s="6" t="s">
        <v>12</v>
      </c>
      <c r="D1948" s="6" t="s">
        <v>3574</v>
      </c>
      <c r="E1948" s="6" t="s">
        <v>5244</v>
      </c>
      <c r="F1948" s="6" t="s">
        <v>5258</v>
      </c>
      <c r="G1948" s="6" t="s">
        <v>16</v>
      </c>
      <c r="H1948" s="5">
        <v>1</v>
      </c>
      <c r="I1948" s="6" t="s">
        <v>5258</v>
      </c>
      <c r="J1948" s="5">
        <v>540</v>
      </c>
    </row>
    <row r="1949" s="2" customFormat="1" ht="27" spans="1:10">
      <c r="A1949" s="6">
        <f>1947</f>
        <v>1947</v>
      </c>
      <c r="B1949" s="6" t="s">
        <v>5259</v>
      </c>
      <c r="C1949" s="6" t="s">
        <v>12</v>
      </c>
      <c r="D1949" s="6" t="s">
        <v>3574</v>
      </c>
      <c r="E1949" s="6" t="s">
        <v>5244</v>
      </c>
      <c r="F1949" s="6" t="s">
        <v>5260</v>
      </c>
      <c r="G1949" s="6" t="s">
        <v>16</v>
      </c>
      <c r="H1949" s="5">
        <v>6</v>
      </c>
      <c r="I1949" s="6" t="s">
        <v>5261</v>
      </c>
      <c r="J1949" s="5">
        <v>1570</v>
      </c>
    </row>
    <row r="1950" s="2" customFormat="1" spans="1:10">
      <c r="A1950" s="6">
        <f>1948</f>
        <v>1948</v>
      </c>
      <c r="B1950" s="6" t="s">
        <v>5262</v>
      </c>
      <c r="C1950" s="6" t="s">
        <v>12</v>
      </c>
      <c r="D1950" s="6" t="s">
        <v>3574</v>
      </c>
      <c r="E1950" s="6" t="s">
        <v>5244</v>
      </c>
      <c r="F1950" s="6" t="s">
        <v>5263</v>
      </c>
      <c r="G1950" s="6" t="s">
        <v>16</v>
      </c>
      <c r="H1950" s="5">
        <v>1</v>
      </c>
      <c r="I1950" s="6" t="s">
        <v>5263</v>
      </c>
      <c r="J1950" s="5">
        <v>380</v>
      </c>
    </row>
    <row r="1951" s="2" customFormat="1" spans="1:10">
      <c r="A1951" s="6">
        <f>1949</f>
        <v>1949</v>
      </c>
      <c r="B1951" s="6" t="s">
        <v>5264</v>
      </c>
      <c r="C1951" s="6" t="s">
        <v>12</v>
      </c>
      <c r="D1951" s="6" t="s">
        <v>3574</v>
      </c>
      <c r="E1951" s="6" t="s">
        <v>5244</v>
      </c>
      <c r="F1951" s="6" t="s">
        <v>5265</v>
      </c>
      <c r="G1951" s="6" t="s">
        <v>16</v>
      </c>
      <c r="H1951" s="5">
        <v>2</v>
      </c>
      <c r="I1951" s="6" t="s">
        <v>5266</v>
      </c>
      <c r="J1951" s="5">
        <v>420</v>
      </c>
    </row>
    <row r="1952" s="2" customFormat="1" spans="1:10">
      <c r="A1952" s="6">
        <f>1950</f>
        <v>1950</v>
      </c>
      <c r="B1952" s="6" t="s">
        <v>5267</v>
      </c>
      <c r="C1952" s="6" t="s">
        <v>12</v>
      </c>
      <c r="D1952" s="6" t="s">
        <v>3574</v>
      </c>
      <c r="E1952" s="6" t="s">
        <v>5244</v>
      </c>
      <c r="F1952" s="6" t="s">
        <v>5268</v>
      </c>
      <c r="G1952" s="6" t="s">
        <v>16</v>
      </c>
      <c r="H1952" s="5">
        <v>1</v>
      </c>
      <c r="I1952" s="6" t="s">
        <v>5268</v>
      </c>
      <c r="J1952" s="5">
        <v>490</v>
      </c>
    </row>
    <row r="1953" s="2" customFormat="1" spans="1:10">
      <c r="A1953" s="6">
        <f>1951</f>
        <v>1951</v>
      </c>
      <c r="B1953" s="6" t="s">
        <v>5269</v>
      </c>
      <c r="C1953" s="6" t="s">
        <v>12</v>
      </c>
      <c r="D1953" s="6" t="s">
        <v>3574</v>
      </c>
      <c r="E1953" s="6" t="s">
        <v>5244</v>
      </c>
      <c r="F1953" s="6" t="s">
        <v>5005</v>
      </c>
      <c r="G1953" s="6" t="s">
        <v>16</v>
      </c>
      <c r="H1953" s="5">
        <v>3</v>
      </c>
      <c r="I1953" s="6" t="s">
        <v>5270</v>
      </c>
      <c r="J1953" s="5">
        <v>680</v>
      </c>
    </row>
    <row r="1954" s="2" customFormat="1" spans="1:10">
      <c r="A1954" s="6">
        <f>1952</f>
        <v>1952</v>
      </c>
      <c r="B1954" s="6" t="s">
        <v>5271</v>
      </c>
      <c r="C1954" s="6" t="s">
        <v>12</v>
      </c>
      <c r="D1954" s="6" t="s">
        <v>3574</v>
      </c>
      <c r="E1954" s="6" t="s">
        <v>5244</v>
      </c>
      <c r="F1954" s="6" t="s">
        <v>5272</v>
      </c>
      <c r="G1954" s="6" t="s">
        <v>16</v>
      </c>
      <c r="H1954" s="5">
        <v>2</v>
      </c>
      <c r="I1954" s="6" t="s">
        <v>5273</v>
      </c>
      <c r="J1954" s="5">
        <v>640</v>
      </c>
    </row>
    <row r="1955" s="2" customFormat="1" spans="1:10">
      <c r="A1955" s="6">
        <f>1953</f>
        <v>1953</v>
      </c>
      <c r="B1955" s="6" t="s">
        <v>5274</v>
      </c>
      <c r="C1955" s="6" t="s">
        <v>12</v>
      </c>
      <c r="D1955" s="6" t="s">
        <v>3574</v>
      </c>
      <c r="E1955" s="6" t="s">
        <v>5244</v>
      </c>
      <c r="F1955" s="6" t="s">
        <v>5275</v>
      </c>
      <c r="G1955" s="6" t="s">
        <v>16</v>
      </c>
      <c r="H1955" s="5">
        <v>1</v>
      </c>
      <c r="I1955" s="6" t="s">
        <v>5275</v>
      </c>
      <c r="J1955" s="5">
        <v>460</v>
      </c>
    </row>
    <row r="1956" s="2" customFormat="1" spans="1:10">
      <c r="A1956" s="6">
        <f>1954</f>
        <v>1954</v>
      </c>
      <c r="B1956" s="6" t="s">
        <v>5276</v>
      </c>
      <c r="C1956" s="6" t="s">
        <v>12</v>
      </c>
      <c r="D1956" s="6" t="s">
        <v>3574</v>
      </c>
      <c r="E1956" s="6" t="s">
        <v>5244</v>
      </c>
      <c r="F1956" s="6" t="s">
        <v>5277</v>
      </c>
      <c r="G1956" s="6" t="s">
        <v>16</v>
      </c>
      <c r="H1956" s="5">
        <v>1</v>
      </c>
      <c r="I1956" s="6" t="s">
        <v>5277</v>
      </c>
      <c r="J1956" s="5">
        <v>360</v>
      </c>
    </row>
    <row r="1957" s="2" customFormat="1" spans="1:10">
      <c r="A1957" s="6">
        <f>1955</f>
        <v>1955</v>
      </c>
      <c r="B1957" s="6" t="s">
        <v>5278</v>
      </c>
      <c r="C1957" s="6" t="s">
        <v>12</v>
      </c>
      <c r="D1957" s="6" t="s">
        <v>3574</v>
      </c>
      <c r="E1957" s="6" t="s">
        <v>5244</v>
      </c>
      <c r="F1957" s="6" t="s">
        <v>5277</v>
      </c>
      <c r="G1957" s="6" t="s">
        <v>16</v>
      </c>
      <c r="H1957" s="5">
        <v>1</v>
      </c>
      <c r="I1957" s="6" t="s">
        <v>5277</v>
      </c>
      <c r="J1957" s="5">
        <v>360</v>
      </c>
    </row>
    <row r="1958" s="2" customFormat="1" spans="1:10">
      <c r="A1958" s="6">
        <f>1956</f>
        <v>1956</v>
      </c>
      <c r="B1958" s="6" t="s">
        <v>5279</v>
      </c>
      <c r="C1958" s="6" t="s">
        <v>12</v>
      </c>
      <c r="D1958" s="6" t="s">
        <v>3574</v>
      </c>
      <c r="E1958" s="6" t="s">
        <v>5244</v>
      </c>
      <c r="F1958" s="6" t="s">
        <v>5280</v>
      </c>
      <c r="G1958" s="6" t="s">
        <v>16</v>
      </c>
      <c r="H1958" s="5">
        <v>1</v>
      </c>
      <c r="I1958" s="6" t="s">
        <v>5280</v>
      </c>
      <c r="J1958" s="5">
        <v>273</v>
      </c>
    </row>
    <row r="1959" s="2" customFormat="1" spans="1:10">
      <c r="A1959" s="6">
        <f>1957</f>
        <v>1957</v>
      </c>
      <c r="B1959" s="6" t="s">
        <v>5281</v>
      </c>
      <c r="C1959" s="6" t="s">
        <v>12</v>
      </c>
      <c r="D1959" s="6" t="s">
        <v>3574</v>
      </c>
      <c r="E1959" s="6" t="s">
        <v>5244</v>
      </c>
      <c r="F1959" s="6" t="s">
        <v>5282</v>
      </c>
      <c r="G1959" s="6" t="s">
        <v>16</v>
      </c>
      <c r="H1959" s="5">
        <v>1</v>
      </c>
      <c r="I1959" s="6" t="s">
        <v>5282</v>
      </c>
      <c r="J1959" s="5">
        <v>258</v>
      </c>
    </row>
    <row r="1960" s="2" customFormat="1" spans="1:10">
      <c r="A1960" s="6">
        <f>1958</f>
        <v>1958</v>
      </c>
      <c r="B1960" s="6" t="s">
        <v>5283</v>
      </c>
      <c r="C1960" s="6" t="s">
        <v>12</v>
      </c>
      <c r="D1960" s="6" t="s">
        <v>3574</v>
      </c>
      <c r="E1960" s="6" t="s">
        <v>5244</v>
      </c>
      <c r="F1960" s="6" t="s">
        <v>5284</v>
      </c>
      <c r="G1960" s="6" t="s">
        <v>16</v>
      </c>
      <c r="H1960" s="5">
        <v>1</v>
      </c>
      <c r="I1960" s="6" t="s">
        <v>5284</v>
      </c>
      <c r="J1960" s="5">
        <v>243</v>
      </c>
    </row>
    <row r="1961" s="2" customFormat="1" ht="27" spans="1:10">
      <c r="A1961" s="6">
        <f>1959</f>
        <v>1959</v>
      </c>
      <c r="B1961" s="6" t="s">
        <v>5285</v>
      </c>
      <c r="C1961" s="6" t="s">
        <v>12</v>
      </c>
      <c r="D1961" s="6" t="s">
        <v>3574</v>
      </c>
      <c r="E1961" s="6" t="s">
        <v>5244</v>
      </c>
      <c r="F1961" s="6" t="s">
        <v>5286</v>
      </c>
      <c r="G1961" s="6" t="s">
        <v>16</v>
      </c>
      <c r="H1961" s="5">
        <v>4</v>
      </c>
      <c r="I1961" s="6" t="s">
        <v>5287</v>
      </c>
      <c r="J1961" s="5">
        <v>845</v>
      </c>
    </row>
    <row r="1962" s="2" customFormat="1" spans="1:10">
      <c r="A1962" s="6">
        <f>1960</f>
        <v>1960</v>
      </c>
      <c r="B1962" s="6" t="s">
        <v>5288</v>
      </c>
      <c r="C1962" s="6" t="s">
        <v>12</v>
      </c>
      <c r="D1962" s="6" t="s">
        <v>3574</v>
      </c>
      <c r="E1962" s="6" t="s">
        <v>5244</v>
      </c>
      <c r="F1962" s="6" t="s">
        <v>5289</v>
      </c>
      <c r="G1962" s="6" t="s">
        <v>16</v>
      </c>
      <c r="H1962" s="5">
        <v>3</v>
      </c>
      <c r="I1962" s="6" t="s">
        <v>5290</v>
      </c>
      <c r="J1962" s="5">
        <v>717</v>
      </c>
    </row>
    <row r="1963" s="2" customFormat="1" spans="1:10">
      <c r="A1963" s="6">
        <f>1961</f>
        <v>1961</v>
      </c>
      <c r="B1963" s="6" t="s">
        <v>5291</v>
      </c>
      <c r="C1963" s="6" t="s">
        <v>12</v>
      </c>
      <c r="D1963" s="6" t="s">
        <v>3574</v>
      </c>
      <c r="E1963" s="6" t="s">
        <v>5244</v>
      </c>
      <c r="F1963" s="6" t="s">
        <v>5292</v>
      </c>
      <c r="G1963" s="6" t="s">
        <v>16</v>
      </c>
      <c r="H1963" s="5">
        <v>1</v>
      </c>
      <c r="I1963" s="6" t="s">
        <v>5292</v>
      </c>
      <c r="J1963" s="5">
        <v>275</v>
      </c>
    </row>
    <row r="1964" s="2" customFormat="1" spans="1:10">
      <c r="A1964" s="6">
        <f>1962</f>
        <v>1962</v>
      </c>
      <c r="B1964" s="6" t="s">
        <v>5293</v>
      </c>
      <c r="C1964" s="6" t="s">
        <v>12</v>
      </c>
      <c r="D1964" s="6" t="s">
        <v>3574</v>
      </c>
      <c r="E1964" s="6" t="s">
        <v>5244</v>
      </c>
      <c r="F1964" s="6" t="s">
        <v>5294</v>
      </c>
      <c r="G1964" s="6" t="s">
        <v>16</v>
      </c>
      <c r="H1964" s="5">
        <v>1</v>
      </c>
      <c r="I1964" s="6" t="s">
        <v>5294</v>
      </c>
      <c r="J1964" s="5">
        <v>358</v>
      </c>
    </row>
    <row r="1965" s="2" customFormat="1" spans="1:10">
      <c r="A1965" s="6">
        <f>1963</f>
        <v>1963</v>
      </c>
      <c r="B1965" s="6" t="s">
        <v>5295</v>
      </c>
      <c r="C1965" s="6" t="s">
        <v>12</v>
      </c>
      <c r="D1965" s="6" t="s">
        <v>3574</v>
      </c>
      <c r="E1965" s="6" t="s">
        <v>5244</v>
      </c>
      <c r="F1965" s="6" t="s">
        <v>4257</v>
      </c>
      <c r="G1965" s="6" t="s">
        <v>16</v>
      </c>
      <c r="H1965" s="5">
        <v>2</v>
      </c>
      <c r="I1965" s="6" t="s">
        <v>5296</v>
      </c>
      <c r="J1965" s="5">
        <v>920</v>
      </c>
    </row>
    <row r="1966" s="2" customFormat="1" spans="1:10">
      <c r="A1966" s="6">
        <f>1964</f>
        <v>1964</v>
      </c>
      <c r="B1966" s="6" t="s">
        <v>5297</v>
      </c>
      <c r="C1966" s="6" t="s">
        <v>12</v>
      </c>
      <c r="D1966" s="6" t="s">
        <v>3574</v>
      </c>
      <c r="E1966" s="6" t="s">
        <v>5244</v>
      </c>
      <c r="F1966" s="6" t="s">
        <v>5298</v>
      </c>
      <c r="G1966" s="6" t="s">
        <v>16</v>
      </c>
      <c r="H1966" s="5">
        <v>2</v>
      </c>
      <c r="I1966" s="6" t="s">
        <v>5299</v>
      </c>
      <c r="J1966" s="5">
        <v>458</v>
      </c>
    </row>
    <row r="1967" s="2" customFormat="1" spans="1:10">
      <c r="A1967" s="6">
        <f>1965</f>
        <v>1965</v>
      </c>
      <c r="B1967" s="6" t="s">
        <v>5300</v>
      </c>
      <c r="C1967" s="6" t="s">
        <v>12</v>
      </c>
      <c r="D1967" s="6" t="s">
        <v>3574</v>
      </c>
      <c r="E1967" s="6" t="s">
        <v>5244</v>
      </c>
      <c r="F1967" s="6" t="s">
        <v>5301</v>
      </c>
      <c r="G1967" s="6" t="s">
        <v>16</v>
      </c>
      <c r="H1967" s="5">
        <v>3</v>
      </c>
      <c r="I1967" s="6" t="s">
        <v>5302</v>
      </c>
      <c r="J1967" s="5">
        <v>630</v>
      </c>
    </row>
    <row r="1968" s="2" customFormat="1" spans="1:10">
      <c r="A1968" s="6">
        <f>1966</f>
        <v>1966</v>
      </c>
      <c r="B1968" s="6" t="s">
        <v>5303</v>
      </c>
      <c r="C1968" s="6" t="s">
        <v>12</v>
      </c>
      <c r="D1968" s="6" t="s">
        <v>3574</v>
      </c>
      <c r="E1968" s="6" t="s">
        <v>5244</v>
      </c>
      <c r="F1968" s="6" t="s">
        <v>5304</v>
      </c>
      <c r="G1968" s="6" t="s">
        <v>16</v>
      </c>
      <c r="H1968" s="5">
        <v>2</v>
      </c>
      <c r="I1968" s="6" t="s">
        <v>5305</v>
      </c>
      <c r="J1968" s="5">
        <v>471</v>
      </c>
    </row>
    <row r="1969" s="2" customFormat="1" spans="1:10">
      <c r="A1969" s="6">
        <f>1967</f>
        <v>1967</v>
      </c>
      <c r="B1969" s="6" t="s">
        <v>5306</v>
      </c>
      <c r="C1969" s="6" t="s">
        <v>12</v>
      </c>
      <c r="D1969" s="6" t="s">
        <v>3574</v>
      </c>
      <c r="E1969" s="6" t="s">
        <v>5244</v>
      </c>
      <c r="F1969" s="6" t="s">
        <v>5307</v>
      </c>
      <c r="G1969" s="6" t="s">
        <v>16</v>
      </c>
      <c r="H1969" s="5">
        <v>2</v>
      </c>
      <c r="I1969" s="6" t="s">
        <v>5308</v>
      </c>
      <c r="J1969" s="5">
        <v>520</v>
      </c>
    </row>
    <row r="1970" s="2" customFormat="1" spans="1:10">
      <c r="A1970" s="6">
        <f>1968</f>
        <v>1968</v>
      </c>
      <c r="B1970" s="6" t="s">
        <v>5309</v>
      </c>
      <c r="C1970" s="6" t="s">
        <v>12</v>
      </c>
      <c r="D1970" s="6" t="s">
        <v>3574</v>
      </c>
      <c r="E1970" s="6" t="s">
        <v>5244</v>
      </c>
      <c r="F1970" s="6" t="s">
        <v>5310</v>
      </c>
      <c r="G1970" s="6" t="s">
        <v>16</v>
      </c>
      <c r="H1970" s="5">
        <v>2</v>
      </c>
      <c r="I1970" s="6" t="s">
        <v>5311</v>
      </c>
      <c r="J1970" s="5">
        <v>622</v>
      </c>
    </row>
    <row r="1971" s="2" customFormat="1" spans="1:10">
      <c r="A1971" s="6">
        <f>1969</f>
        <v>1969</v>
      </c>
      <c r="B1971" s="6" t="s">
        <v>5312</v>
      </c>
      <c r="C1971" s="6" t="s">
        <v>12</v>
      </c>
      <c r="D1971" s="6" t="s">
        <v>3574</v>
      </c>
      <c r="E1971" s="6" t="s">
        <v>5244</v>
      </c>
      <c r="F1971" s="6" t="s">
        <v>5313</v>
      </c>
      <c r="G1971" s="6" t="s">
        <v>16</v>
      </c>
      <c r="H1971" s="5">
        <v>1</v>
      </c>
      <c r="I1971" s="6" t="s">
        <v>5313</v>
      </c>
      <c r="J1971" s="5">
        <v>243</v>
      </c>
    </row>
    <row r="1972" s="2" customFormat="1" spans="1:10">
      <c r="A1972" s="6">
        <f>1970</f>
        <v>1970</v>
      </c>
      <c r="B1972" s="6" t="s">
        <v>5314</v>
      </c>
      <c r="C1972" s="6" t="s">
        <v>12</v>
      </c>
      <c r="D1972" s="6" t="s">
        <v>3574</v>
      </c>
      <c r="E1972" s="6" t="s">
        <v>5244</v>
      </c>
      <c r="F1972" s="6" t="s">
        <v>5315</v>
      </c>
      <c r="G1972" s="6" t="s">
        <v>16</v>
      </c>
      <c r="H1972" s="5">
        <v>1</v>
      </c>
      <c r="I1972" s="6" t="s">
        <v>5315</v>
      </c>
      <c r="J1972" s="5">
        <v>325</v>
      </c>
    </row>
    <row r="1973" s="2" customFormat="1" spans="1:10">
      <c r="A1973" s="6">
        <f>1971</f>
        <v>1971</v>
      </c>
      <c r="B1973" s="6" t="s">
        <v>5316</v>
      </c>
      <c r="C1973" s="6" t="s">
        <v>12</v>
      </c>
      <c r="D1973" s="6" t="s">
        <v>3574</v>
      </c>
      <c r="E1973" s="6" t="s">
        <v>5244</v>
      </c>
      <c r="F1973" s="6" t="s">
        <v>5317</v>
      </c>
      <c r="G1973" s="6" t="s">
        <v>16</v>
      </c>
      <c r="H1973" s="5">
        <v>1</v>
      </c>
      <c r="I1973" s="6" t="s">
        <v>5317</v>
      </c>
      <c r="J1973" s="5">
        <v>270</v>
      </c>
    </row>
    <row r="1974" s="2" customFormat="1" ht="27" spans="1:10">
      <c r="A1974" s="6">
        <f>1972</f>
        <v>1972</v>
      </c>
      <c r="B1974" s="6" t="s">
        <v>5318</v>
      </c>
      <c r="C1974" s="6" t="s">
        <v>12</v>
      </c>
      <c r="D1974" s="6" t="s">
        <v>3574</v>
      </c>
      <c r="E1974" s="6" t="s">
        <v>5244</v>
      </c>
      <c r="F1974" s="6" t="s">
        <v>5319</v>
      </c>
      <c r="G1974" s="6" t="s">
        <v>16</v>
      </c>
      <c r="H1974" s="5">
        <v>5</v>
      </c>
      <c r="I1974" s="6" t="s">
        <v>5320</v>
      </c>
      <c r="J1974" s="5">
        <v>600</v>
      </c>
    </row>
    <row r="1975" s="2" customFormat="1" spans="1:10">
      <c r="A1975" s="6">
        <f>1973</f>
        <v>1973</v>
      </c>
      <c r="B1975" s="6" t="s">
        <v>5321</v>
      </c>
      <c r="C1975" s="6" t="s">
        <v>12</v>
      </c>
      <c r="D1975" s="6" t="s">
        <v>3574</v>
      </c>
      <c r="E1975" s="6" t="s">
        <v>5244</v>
      </c>
      <c r="F1975" s="6" t="s">
        <v>5322</v>
      </c>
      <c r="G1975" s="6" t="s">
        <v>16</v>
      </c>
      <c r="H1975" s="5">
        <v>2</v>
      </c>
      <c r="I1975" s="6" t="s">
        <v>5323</v>
      </c>
      <c r="J1975" s="5">
        <v>492</v>
      </c>
    </row>
    <row r="1976" s="2" customFormat="1" spans="1:10">
      <c r="A1976" s="6">
        <f>1974</f>
        <v>1974</v>
      </c>
      <c r="B1976" s="6" t="s">
        <v>5324</v>
      </c>
      <c r="C1976" s="6" t="s">
        <v>12</v>
      </c>
      <c r="D1976" s="6" t="s">
        <v>3574</v>
      </c>
      <c r="E1976" s="6" t="s">
        <v>5244</v>
      </c>
      <c r="F1976" s="6" t="s">
        <v>5325</v>
      </c>
      <c r="G1976" s="6" t="s">
        <v>16</v>
      </c>
      <c r="H1976" s="5">
        <v>2</v>
      </c>
      <c r="I1976" s="6" t="s">
        <v>5326</v>
      </c>
      <c r="J1976" s="5">
        <v>420</v>
      </c>
    </row>
    <row r="1977" s="2" customFormat="1" spans="1:10">
      <c r="A1977" s="6">
        <f>1975</f>
        <v>1975</v>
      </c>
      <c r="B1977" s="6" t="s">
        <v>5327</v>
      </c>
      <c r="C1977" s="6" t="s">
        <v>12</v>
      </c>
      <c r="D1977" s="6" t="s">
        <v>3574</v>
      </c>
      <c r="E1977" s="6" t="s">
        <v>5244</v>
      </c>
      <c r="F1977" s="6" t="s">
        <v>5328</v>
      </c>
      <c r="G1977" s="6" t="s">
        <v>16</v>
      </c>
      <c r="H1977" s="5">
        <v>1</v>
      </c>
      <c r="I1977" s="6" t="s">
        <v>5328</v>
      </c>
      <c r="J1977" s="5">
        <v>324</v>
      </c>
    </row>
    <row r="1978" s="2" customFormat="1" spans="1:10">
      <c r="A1978" s="6">
        <f>1976</f>
        <v>1976</v>
      </c>
      <c r="B1978" s="6" t="s">
        <v>5329</v>
      </c>
      <c r="C1978" s="6" t="s">
        <v>12</v>
      </c>
      <c r="D1978" s="6" t="s">
        <v>3574</v>
      </c>
      <c r="E1978" s="6" t="s">
        <v>5244</v>
      </c>
      <c r="F1978" s="6" t="s">
        <v>61</v>
      </c>
      <c r="G1978" s="6" t="s">
        <v>16</v>
      </c>
      <c r="H1978" s="5">
        <v>3</v>
      </c>
      <c r="I1978" s="6" t="s">
        <v>5330</v>
      </c>
      <c r="J1978" s="5">
        <v>786</v>
      </c>
    </row>
    <row r="1979" s="2" customFormat="1" spans="1:10">
      <c r="A1979" s="6">
        <f>1977</f>
        <v>1977</v>
      </c>
      <c r="B1979" s="6" t="s">
        <v>5331</v>
      </c>
      <c r="C1979" s="6" t="s">
        <v>12</v>
      </c>
      <c r="D1979" s="6" t="s">
        <v>3574</v>
      </c>
      <c r="E1979" s="6" t="s">
        <v>5244</v>
      </c>
      <c r="F1979" s="6" t="s">
        <v>5332</v>
      </c>
      <c r="G1979" s="6" t="s">
        <v>16</v>
      </c>
      <c r="H1979" s="5">
        <v>1</v>
      </c>
      <c r="I1979" s="6" t="s">
        <v>5332</v>
      </c>
      <c r="J1979" s="5">
        <v>290</v>
      </c>
    </row>
    <row r="1980" s="2" customFormat="1" ht="27" spans="1:10">
      <c r="A1980" s="6">
        <f>1978</f>
        <v>1978</v>
      </c>
      <c r="B1980" s="6" t="s">
        <v>5333</v>
      </c>
      <c r="C1980" s="6" t="s">
        <v>12</v>
      </c>
      <c r="D1980" s="6" t="s">
        <v>3574</v>
      </c>
      <c r="E1980" s="6" t="s">
        <v>5244</v>
      </c>
      <c r="F1980" s="6" t="s">
        <v>2120</v>
      </c>
      <c r="G1980" s="6" t="s">
        <v>16</v>
      </c>
      <c r="H1980" s="5">
        <v>4</v>
      </c>
      <c r="I1980" s="6" t="s">
        <v>5334</v>
      </c>
      <c r="J1980" s="5">
        <v>715</v>
      </c>
    </row>
    <row r="1981" s="2" customFormat="1" spans="1:10">
      <c r="A1981" s="6">
        <f>1979</f>
        <v>1979</v>
      </c>
      <c r="B1981" s="6" t="s">
        <v>5335</v>
      </c>
      <c r="C1981" s="6" t="s">
        <v>12</v>
      </c>
      <c r="D1981" s="6" t="s">
        <v>3574</v>
      </c>
      <c r="E1981" s="6" t="s">
        <v>5244</v>
      </c>
      <c r="F1981" s="6" t="s">
        <v>5336</v>
      </c>
      <c r="G1981" s="6" t="s">
        <v>16</v>
      </c>
      <c r="H1981" s="5">
        <v>1</v>
      </c>
      <c r="I1981" s="6" t="s">
        <v>5336</v>
      </c>
      <c r="J1981" s="5">
        <v>243</v>
      </c>
    </row>
    <row r="1982" s="2" customFormat="1" spans="1:10">
      <c r="A1982" s="6">
        <f>1980</f>
        <v>1980</v>
      </c>
      <c r="B1982" s="6" t="s">
        <v>5337</v>
      </c>
      <c r="C1982" s="6" t="s">
        <v>12</v>
      </c>
      <c r="D1982" s="6" t="s">
        <v>3574</v>
      </c>
      <c r="E1982" s="6" t="s">
        <v>5244</v>
      </c>
      <c r="F1982" s="6" t="s">
        <v>5338</v>
      </c>
      <c r="G1982" s="6" t="s">
        <v>16</v>
      </c>
      <c r="H1982" s="5">
        <v>2</v>
      </c>
      <c r="I1982" s="6" t="s">
        <v>5339</v>
      </c>
      <c r="J1982" s="5">
        <v>665</v>
      </c>
    </row>
    <row r="1983" s="2" customFormat="1" spans="1:10">
      <c r="A1983" s="6">
        <f>1981</f>
        <v>1981</v>
      </c>
      <c r="B1983" s="6" t="s">
        <v>5340</v>
      </c>
      <c r="C1983" s="6" t="s">
        <v>12</v>
      </c>
      <c r="D1983" s="6" t="s">
        <v>3574</v>
      </c>
      <c r="E1983" s="6" t="s">
        <v>5244</v>
      </c>
      <c r="F1983" s="6" t="s">
        <v>5341</v>
      </c>
      <c r="G1983" s="6" t="s">
        <v>16</v>
      </c>
      <c r="H1983" s="5">
        <v>1</v>
      </c>
      <c r="I1983" s="6" t="s">
        <v>5341</v>
      </c>
      <c r="J1983" s="5">
        <v>270</v>
      </c>
    </row>
    <row r="1984" s="2" customFormat="1" spans="1:10">
      <c r="A1984" s="6">
        <f>1982</f>
        <v>1982</v>
      </c>
      <c r="B1984" s="6" t="s">
        <v>5342</v>
      </c>
      <c r="C1984" s="6" t="s">
        <v>12</v>
      </c>
      <c r="D1984" s="6" t="s">
        <v>3574</v>
      </c>
      <c r="E1984" s="6" t="s">
        <v>5244</v>
      </c>
      <c r="F1984" s="6" t="s">
        <v>5343</v>
      </c>
      <c r="G1984" s="6" t="s">
        <v>16</v>
      </c>
      <c r="H1984" s="5">
        <v>2</v>
      </c>
      <c r="I1984" s="6" t="s">
        <v>5344</v>
      </c>
      <c r="J1984" s="5">
        <v>632</v>
      </c>
    </row>
    <row r="1985" s="2" customFormat="1" spans="1:10">
      <c r="A1985" s="6">
        <f>1983</f>
        <v>1983</v>
      </c>
      <c r="B1985" s="6" t="s">
        <v>5345</v>
      </c>
      <c r="C1985" s="6" t="s">
        <v>12</v>
      </c>
      <c r="D1985" s="6" t="s">
        <v>3574</v>
      </c>
      <c r="E1985" s="6" t="s">
        <v>5244</v>
      </c>
      <c r="F1985" s="6" t="s">
        <v>5346</v>
      </c>
      <c r="G1985" s="6" t="s">
        <v>16</v>
      </c>
      <c r="H1985" s="5">
        <v>2</v>
      </c>
      <c r="I1985" s="6" t="s">
        <v>5347</v>
      </c>
      <c r="J1985" s="5">
        <v>550</v>
      </c>
    </row>
    <row r="1986" s="2" customFormat="1" spans="1:10">
      <c r="A1986" s="6">
        <f>1984</f>
        <v>1984</v>
      </c>
      <c r="B1986" s="6" t="s">
        <v>5348</v>
      </c>
      <c r="C1986" s="6" t="s">
        <v>12</v>
      </c>
      <c r="D1986" s="6" t="s">
        <v>3574</v>
      </c>
      <c r="E1986" s="6" t="s">
        <v>5244</v>
      </c>
      <c r="F1986" s="6" t="s">
        <v>5349</v>
      </c>
      <c r="G1986" s="6" t="s">
        <v>16</v>
      </c>
      <c r="H1986" s="5">
        <v>1</v>
      </c>
      <c r="I1986" s="6" t="s">
        <v>5349</v>
      </c>
      <c r="J1986" s="5">
        <v>345</v>
      </c>
    </row>
    <row r="1987" s="2" customFormat="1" ht="27" spans="1:10">
      <c r="A1987" s="6">
        <f>1985</f>
        <v>1985</v>
      </c>
      <c r="B1987" s="6" t="s">
        <v>5350</v>
      </c>
      <c r="C1987" s="6" t="s">
        <v>12</v>
      </c>
      <c r="D1987" s="6" t="s">
        <v>3574</v>
      </c>
      <c r="E1987" s="6" t="s">
        <v>5244</v>
      </c>
      <c r="F1987" s="6" t="s">
        <v>5351</v>
      </c>
      <c r="G1987" s="6" t="s">
        <v>16</v>
      </c>
      <c r="H1987" s="5">
        <v>4</v>
      </c>
      <c r="I1987" s="6" t="s">
        <v>5352</v>
      </c>
      <c r="J1987" s="5">
        <v>986</v>
      </c>
    </row>
    <row r="1988" s="2" customFormat="1" spans="1:10">
      <c r="A1988" s="6">
        <f>1986</f>
        <v>1986</v>
      </c>
      <c r="B1988" s="6" t="s">
        <v>5353</v>
      </c>
      <c r="C1988" s="6" t="s">
        <v>12</v>
      </c>
      <c r="D1988" s="6" t="s">
        <v>3574</v>
      </c>
      <c r="E1988" s="6" t="s">
        <v>5244</v>
      </c>
      <c r="F1988" s="6" t="s">
        <v>5354</v>
      </c>
      <c r="G1988" s="6" t="s">
        <v>16</v>
      </c>
      <c r="H1988" s="5">
        <v>2</v>
      </c>
      <c r="I1988" s="6" t="s">
        <v>5355</v>
      </c>
      <c r="J1988" s="5">
        <v>466</v>
      </c>
    </row>
    <row r="1989" s="2" customFormat="1" spans="1:10">
      <c r="A1989" s="6">
        <f>1987</f>
        <v>1987</v>
      </c>
      <c r="B1989" s="6" t="s">
        <v>5356</v>
      </c>
      <c r="C1989" s="6" t="s">
        <v>12</v>
      </c>
      <c r="D1989" s="6" t="s">
        <v>3574</v>
      </c>
      <c r="E1989" s="6" t="s">
        <v>5244</v>
      </c>
      <c r="F1989" s="6" t="s">
        <v>5357</v>
      </c>
      <c r="G1989" s="6" t="s">
        <v>16</v>
      </c>
      <c r="H1989" s="5">
        <v>3</v>
      </c>
      <c r="I1989" s="6" t="s">
        <v>5358</v>
      </c>
      <c r="J1989" s="5">
        <v>738</v>
      </c>
    </row>
    <row r="1990" s="2" customFormat="1" ht="27" spans="1:10">
      <c r="A1990" s="6">
        <f>1988</f>
        <v>1988</v>
      </c>
      <c r="B1990" s="6" t="s">
        <v>5359</v>
      </c>
      <c r="C1990" s="6" t="s">
        <v>12</v>
      </c>
      <c r="D1990" s="6" t="s">
        <v>3574</v>
      </c>
      <c r="E1990" s="6" t="s">
        <v>5244</v>
      </c>
      <c r="F1990" s="6" t="s">
        <v>5360</v>
      </c>
      <c r="G1990" s="6" t="s">
        <v>16</v>
      </c>
      <c r="H1990" s="5">
        <v>6</v>
      </c>
      <c r="I1990" s="6" t="s">
        <v>5361</v>
      </c>
      <c r="J1990" s="5">
        <v>600</v>
      </c>
    </row>
    <row r="1991" s="2" customFormat="1" ht="27" spans="1:10">
      <c r="A1991" s="6">
        <f>1989</f>
        <v>1989</v>
      </c>
      <c r="B1991" s="6" t="s">
        <v>5362</v>
      </c>
      <c r="C1991" s="6" t="s">
        <v>12</v>
      </c>
      <c r="D1991" s="6" t="s">
        <v>3574</v>
      </c>
      <c r="E1991" s="6" t="s">
        <v>5244</v>
      </c>
      <c r="F1991" s="6" t="s">
        <v>5363</v>
      </c>
      <c r="G1991" s="6" t="s">
        <v>16</v>
      </c>
      <c r="H1991" s="5">
        <v>4</v>
      </c>
      <c r="I1991" s="6" t="s">
        <v>5364</v>
      </c>
      <c r="J1991" s="5">
        <v>1040</v>
      </c>
    </row>
    <row r="1992" s="2" customFormat="1" spans="1:10">
      <c r="A1992" s="6">
        <f>1990</f>
        <v>1990</v>
      </c>
      <c r="B1992" s="6" t="s">
        <v>5365</v>
      </c>
      <c r="C1992" s="6" t="s">
        <v>12</v>
      </c>
      <c r="D1992" s="6" t="s">
        <v>3574</v>
      </c>
      <c r="E1992" s="6" t="s">
        <v>5244</v>
      </c>
      <c r="F1992" s="6" t="s">
        <v>5366</v>
      </c>
      <c r="G1992" s="6" t="s">
        <v>16</v>
      </c>
      <c r="H1992" s="5">
        <v>1</v>
      </c>
      <c r="I1992" s="6" t="s">
        <v>5366</v>
      </c>
      <c r="J1992" s="5">
        <v>261</v>
      </c>
    </row>
    <row r="1993" s="2" customFormat="1" ht="27" spans="1:10">
      <c r="A1993" s="6">
        <f>1991</f>
        <v>1991</v>
      </c>
      <c r="B1993" s="6" t="s">
        <v>5367</v>
      </c>
      <c r="C1993" s="6" t="s">
        <v>12</v>
      </c>
      <c r="D1993" s="6" t="s">
        <v>3574</v>
      </c>
      <c r="E1993" s="6" t="s">
        <v>5244</v>
      </c>
      <c r="F1993" s="6" t="s">
        <v>5368</v>
      </c>
      <c r="G1993" s="6" t="s">
        <v>16</v>
      </c>
      <c r="H1993" s="5">
        <v>4</v>
      </c>
      <c r="I1993" s="6" t="s">
        <v>5369</v>
      </c>
      <c r="J1993" s="5">
        <v>556</v>
      </c>
    </row>
    <row r="1994" s="2" customFormat="1" spans="1:10">
      <c r="A1994" s="6">
        <f>1992</f>
        <v>1992</v>
      </c>
      <c r="B1994" s="6" t="s">
        <v>5370</v>
      </c>
      <c r="C1994" s="6" t="s">
        <v>12</v>
      </c>
      <c r="D1994" s="6" t="s">
        <v>3574</v>
      </c>
      <c r="E1994" s="6" t="s">
        <v>5244</v>
      </c>
      <c r="F1994" s="6" t="s">
        <v>5371</v>
      </c>
      <c r="G1994" s="6" t="s">
        <v>16</v>
      </c>
      <c r="H1994" s="5">
        <v>1</v>
      </c>
      <c r="I1994" s="6" t="s">
        <v>5371</v>
      </c>
      <c r="J1994" s="5">
        <v>243</v>
      </c>
    </row>
    <row r="1995" s="2" customFormat="1" spans="1:10">
      <c r="A1995" s="6">
        <f>1993</f>
        <v>1993</v>
      </c>
      <c r="B1995" s="6" t="s">
        <v>5372</v>
      </c>
      <c r="C1995" s="6" t="s">
        <v>12</v>
      </c>
      <c r="D1995" s="6" t="s">
        <v>3574</v>
      </c>
      <c r="E1995" s="6" t="s">
        <v>5244</v>
      </c>
      <c r="F1995" s="6" t="s">
        <v>5373</v>
      </c>
      <c r="G1995" s="6" t="s">
        <v>16</v>
      </c>
      <c r="H1995" s="5">
        <v>2</v>
      </c>
      <c r="I1995" s="6" t="s">
        <v>5374</v>
      </c>
      <c r="J1995" s="5">
        <v>518</v>
      </c>
    </row>
    <row r="1996" s="2" customFormat="1" ht="27" spans="1:10">
      <c r="A1996" s="6">
        <f>1994</f>
        <v>1994</v>
      </c>
      <c r="B1996" s="6" t="s">
        <v>5375</v>
      </c>
      <c r="C1996" s="6" t="s">
        <v>12</v>
      </c>
      <c r="D1996" s="6" t="s">
        <v>3574</v>
      </c>
      <c r="E1996" s="6" t="s">
        <v>5244</v>
      </c>
      <c r="F1996" s="6" t="s">
        <v>5376</v>
      </c>
      <c r="G1996" s="6" t="s">
        <v>16</v>
      </c>
      <c r="H1996" s="5">
        <v>5</v>
      </c>
      <c r="I1996" s="6" t="s">
        <v>5377</v>
      </c>
      <c r="J1996" s="5">
        <v>495</v>
      </c>
    </row>
    <row r="1997" s="2" customFormat="1" spans="1:10">
      <c r="A1997" s="6">
        <f>1995</f>
        <v>1995</v>
      </c>
      <c r="B1997" s="6" t="s">
        <v>5378</v>
      </c>
      <c r="C1997" s="6" t="s">
        <v>12</v>
      </c>
      <c r="D1997" s="6" t="s">
        <v>3574</v>
      </c>
      <c r="E1997" s="6" t="s">
        <v>5244</v>
      </c>
      <c r="F1997" s="6" t="s">
        <v>5379</v>
      </c>
      <c r="G1997" s="6" t="s">
        <v>16</v>
      </c>
      <c r="H1997" s="5">
        <v>1</v>
      </c>
      <c r="I1997" s="6" t="s">
        <v>5379</v>
      </c>
      <c r="J1997" s="5">
        <v>270</v>
      </c>
    </row>
    <row r="1998" s="2" customFormat="1" spans="1:10">
      <c r="A1998" s="6">
        <f>1996</f>
        <v>1996</v>
      </c>
      <c r="B1998" s="6" t="s">
        <v>5380</v>
      </c>
      <c r="C1998" s="6" t="s">
        <v>12</v>
      </c>
      <c r="D1998" s="6" t="s">
        <v>3574</v>
      </c>
      <c r="E1998" s="6" t="s">
        <v>5244</v>
      </c>
      <c r="F1998" s="6" t="s">
        <v>5381</v>
      </c>
      <c r="G1998" s="6" t="s">
        <v>16</v>
      </c>
      <c r="H1998" s="5">
        <v>3</v>
      </c>
      <c r="I1998" s="6" t="s">
        <v>5382</v>
      </c>
      <c r="J1998" s="5">
        <v>594</v>
      </c>
    </row>
    <row r="1999" s="2" customFormat="1" ht="27" spans="1:10">
      <c r="A1999" s="6">
        <f>1997</f>
        <v>1997</v>
      </c>
      <c r="B1999" s="6" t="s">
        <v>5383</v>
      </c>
      <c r="C1999" s="6" t="s">
        <v>12</v>
      </c>
      <c r="D1999" s="6" t="s">
        <v>3574</v>
      </c>
      <c r="E1999" s="6" t="s">
        <v>5244</v>
      </c>
      <c r="F1999" s="6" t="s">
        <v>5384</v>
      </c>
      <c r="G1999" s="6" t="s">
        <v>16</v>
      </c>
      <c r="H1999" s="5">
        <v>4</v>
      </c>
      <c r="I1999" s="6" t="s">
        <v>5385</v>
      </c>
      <c r="J1999" s="5">
        <v>640</v>
      </c>
    </row>
    <row r="2000" s="2" customFormat="1" ht="27" spans="1:10">
      <c r="A2000" s="6">
        <f>1998</f>
        <v>1998</v>
      </c>
      <c r="B2000" s="6" t="s">
        <v>5386</v>
      </c>
      <c r="C2000" s="6" t="s">
        <v>12</v>
      </c>
      <c r="D2000" s="6" t="s">
        <v>3574</v>
      </c>
      <c r="E2000" s="6" t="s">
        <v>5244</v>
      </c>
      <c r="F2000" s="6" t="s">
        <v>5387</v>
      </c>
      <c r="G2000" s="6" t="s">
        <v>16</v>
      </c>
      <c r="H2000" s="5">
        <v>4</v>
      </c>
      <c r="I2000" s="6" t="s">
        <v>5388</v>
      </c>
      <c r="J2000" s="5">
        <v>1044</v>
      </c>
    </row>
    <row r="2001" s="2" customFormat="1" spans="1:10">
      <c r="A2001" s="6">
        <f>1999</f>
        <v>1999</v>
      </c>
      <c r="B2001" s="6" t="s">
        <v>5389</v>
      </c>
      <c r="C2001" s="6" t="s">
        <v>12</v>
      </c>
      <c r="D2001" s="6" t="s">
        <v>3574</v>
      </c>
      <c r="E2001" s="6" t="s">
        <v>5244</v>
      </c>
      <c r="F2001" s="6" t="s">
        <v>5390</v>
      </c>
      <c r="G2001" s="6" t="s">
        <v>16</v>
      </c>
      <c r="H2001" s="5">
        <v>2</v>
      </c>
      <c r="I2001" s="6" t="s">
        <v>5391</v>
      </c>
      <c r="J2001" s="5">
        <v>518</v>
      </c>
    </row>
    <row r="2002" s="2" customFormat="1" spans="1:10">
      <c r="A2002" s="6">
        <f>2000</f>
        <v>2000</v>
      </c>
      <c r="B2002" s="6" t="s">
        <v>5392</v>
      </c>
      <c r="C2002" s="6" t="s">
        <v>12</v>
      </c>
      <c r="D2002" s="6" t="s">
        <v>3574</v>
      </c>
      <c r="E2002" s="6" t="s">
        <v>5244</v>
      </c>
      <c r="F2002" s="6" t="s">
        <v>5393</v>
      </c>
      <c r="G2002" s="6" t="s">
        <v>16</v>
      </c>
      <c r="H2002" s="5">
        <v>1</v>
      </c>
      <c r="I2002" s="6" t="s">
        <v>5393</v>
      </c>
      <c r="J2002" s="5">
        <v>258</v>
      </c>
    </row>
    <row r="2003" s="2" customFormat="1" spans="1:10">
      <c r="A2003" s="6">
        <f>2001</f>
        <v>2001</v>
      </c>
      <c r="B2003" s="6" t="s">
        <v>5394</v>
      </c>
      <c r="C2003" s="6" t="s">
        <v>12</v>
      </c>
      <c r="D2003" s="6" t="s">
        <v>3574</v>
      </c>
      <c r="E2003" s="6" t="s">
        <v>5244</v>
      </c>
      <c r="F2003" s="6" t="s">
        <v>5395</v>
      </c>
      <c r="G2003" s="6" t="s">
        <v>16</v>
      </c>
      <c r="H2003" s="5">
        <v>2</v>
      </c>
      <c r="I2003" s="6" t="s">
        <v>5396</v>
      </c>
      <c r="J2003" s="5">
        <v>480</v>
      </c>
    </row>
    <row r="2004" s="2" customFormat="1" spans="1:10">
      <c r="A2004" s="6">
        <f>2002</f>
        <v>2002</v>
      </c>
      <c r="B2004" s="6" t="s">
        <v>5397</v>
      </c>
      <c r="C2004" s="6" t="s">
        <v>12</v>
      </c>
      <c r="D2004" s="6" t="s">
        <v>3574</v>
      </c>
      <c r="E2004" s="6" t="s">
        <v>5244</v>
      </c>
      <c r="F2004" s="6" t="s">
        <v>5398</v>
      </c>
      <c r="G2004" s="6" t="s">
        <v>16</v>
      </c>
      <c r="H2004" s="5">
        <v>1</v>
      </c>
      <c r="I2004" s="6" t="s">
        <v>5398</v>
      </c>
      <c r="J2004" s="5">
        <v>250</v>
      </c>
    </row>
    <row r="2005" s="2" customFormat="1" spans="1:10">
      <c r="A2005" s="6">
        <f>2003</f>
        <v>2003</v>
      </c>
      <c r="B2005" s="6" t="s">
        <v>5399</v>
      </c>
      <c r="C2005" s="6" t="s">
        <v>12</v>
      </c>
      <c r="D2005" s="6" t="s">
        <v>3574</v>
      </c>
      <c r="E2005" s="6" t="s">
        <v>5244</v>
      </c>
      <c r="F2005" s="6" t="s">
        <v>5400</v>
      </c>
      <c r="G2005" s="6" t="s">
        <v>16</v>
      </c>
      <c r="H2005" s="5">
        <v>2</v>
      </c>
      <c r="I2005" s="6" t="s">
        <v>5401</v>
      </c>
      <c r="J2005" s="5">
        <v>524</v>
      </c>
    </row>
    <row r="2006" s="2" customFormat="1" spans="1:10">
      <c r="A2006" s="6">
        <f>2004</f>
        <v>2004</v>
      </c>
      <c r="B2006" s="6" t="s">
        <v>5402</v>
      </c>
      <c r="C2006" s="6" t="s">
        <v>12</v>
      </c>
      <c r="D2006" s="6" t="s">
        <v>3574</v>
      </c>
      <c r="E2006" s="6" t="s">
        <v>5244</v>
      </c>
      <c r="F2006" s="6" t="s">
        <v>5403</v>
      </c>
      <c r="G2006" s="6" t="s">
        <v>16</v>
      </c>
      <c r="H2006" s="5">
        <v>1</v>
      </c>
      <c r="I2006" s="6" t="s">
        <v>5403</v>
      </c>
      <c r="J2006" s="5">
        <v>295</v>
      </c>
    </row>
    <row r="2007" s="2" customFormat="1" spans="1:10">
      <c r="A2007" s="6">
        <f>2005</f>
        <v>2005</v>
      </c>
      <c r="B2007" s="6" t="s">
        <v>5404</v>
      </c>
      <c r="C2007" s="6" t="s">
        <v>12</v>
      </c>
      <c r="D2007" s="6" t="s">
        <v>3574</v>
      </c>
      <c r="E2007" s="6" t="s">
        <v>5244</v>
      </c>
      <c r="F2007" s="6" t="s">
        <v>5405</v>
      </c>
      <c r="G2007" s="6" t="s">
        <v>16</v>
      </c>
      <c r="H2007" s="5">
        <v>1</v>
      </c>
      <c r="I2007" s="6" t="s">
        <v>5405</v>
      </c>
      <c r="J2007" s="5">
        <v>243</v>
      </c>
    </row>
    <row r="2008" s="2" customFormat="1" spans="1:10">
      <c r="A2008" s="6">
        <f>2006</f>
        <v>2006</v>
      </c>
      <c r="B2008" s="6" t="s">
        <v>5406</v>
      </c>
      <c r="C2008" s="6" t="s">
        <v>12</v>
      </c>
      <c r="D2008" s="6" t="s">
        <v>3574</v>
      </c>
      <c r="E2008" s="6" t="s">
        <v>5244</v>
      </c>
      <c r="F2008" s="6" t="s">
        <v>5407</v>
      </c>
      <c r="G2008" s="6" t="s">
        <v>16</v>
      </c>
      <c r="H2008" s="5">
        <v>3</v>
      </c>
      <c r="I2008" s="6" t="s">
        <v>5408</v>
      </c>
      <c r="J2008" s="5">
        <v>815</v>
      </c>
    </row>
    <row r="2009" s="2" customFormat="1" spans="1:10">
      <c r="A2009" s="6">
        <f>2007</f>
        <v>2007</v>
      </c>
      <c r="B2009" s="6" t="s">
        <v>5409</v>
      </c>
      <c r="C2009" s="6" t="s">
        <v>12</v>
      </c>
      <c r="D2009" s="6" t="s">
        <v>3574</v>
      </c>
      <c r="E2009" s="6" t="s">
        <v>5244</v>
      </c>
      <c r="F2009" s="6" t="s">
        <v>5410</v>
      </c>
      <c r="G2009" s="6" t="s">
        <v>16</v>
      </c>
      <c r="H2009" s="5">
        <v>3</v>
      </c>
      <c r="I2009" s="6" t="s">
        <v>5411</v>
      </c>
      <c r="J2009" s="5">
        <v>564</v>
      </c>
    </row>
    <row r="2010" s="2" customFormat="1" spans="1:10">
      <c r="A2010" s="6">
        <f>2008</f>
        <v>2008</v>
      </c>
      <c r="B2010" s="6" t="s">
        <v>5412</v>
      </c>
      <c r="C2010" s="6" t="s">
        <v>12</v>
      </c>
      <c r="D2010" s="6" t="s">
        <v>3574</v>
      </c>
      <c r="E2010" s="6" t="s">
        <v>5244</v>
      </c>
      <c r="F2010" s="6" t="s">
        <v>5413</v>
      </c>
      <c r="G2010" s="6" t="s">
        <v>16</v>
      </c>
      <c r="H2010" s="5">
        <v>1</v>
      </c>
      <c r="I2010" s="6" t="s">
        <v>5413</v>
      </c>
      <c r="J2010" s="5">
        <v>260</v>
      </c>
    </row>
    <row r="2011" s="2" customFormat="1" spans="1:10">
      <c r="A2011" s="6">
        <f>2009</f>
        <v>2009</v>
      </c>
      <c r="B2011" s="6" t="s">
        <v>5414</v>
      </c>
      <c r="C2011" s="6" t="s">
        <v>12</v>
      </c>
      <c r="D2011" s="6" t="s">
        <v>3574</v>
      </c>
      <c r="E2011" s="6" t="s">
        <v>5244</v>
      </c>
      <c r="F2011" s="6" t="s">
        <v>5415</v>
      </c>
      <c r="G2011" s="6" t="s">
        <v>16</v>
      </c>
      <c r="H2011" s="5">
        <v>2</v>
      </c>
      <c r="I2011" s="6" t="s">
        <v>5416</v>
      </c>
      <c r="J2011" s="5">
        <v>495</v>
      </c>
    </row>
    <row r="2012" s="2" customFormat="1" spans="1:10">
      <c r="A2012" s="6">
        <f>2010</f>
        <v>2010</v>
      </c>
      <c r="B2012" s="6" t="s">
        <v>5417</v>
      </c>
      <c r="C2012" s="6" t="s">
        <v>12</v>
      </c>
      <c r="D2012" s="6" t="s">
        <v>3574</v>
      </c>
      <c r="E2012" s="6" t="s">
        <v>5244</v>
      </c>
      <c r="F2012" s="6" t="s">
        <v>5418</v>
      </c>
      <c r="G2012" s="6" t="s">
        <v>16</v>
      </c>
      <c r="H2012" s="5">
        <v>1</v>
      </c>
      <c r="I2012" s="6" t="s">
        <v>5418</v>
      </c>
      <c r="J2012" s="5">
        <v>300</v>
      </c>
    </row>
    <row r="2013" s="2" customFormat="1" spans="1:10">
      <c r="A2013" s="6">
        <f>2011</f>
        <v>2011</v>
      </c>
      <c r="B2013" s="6" t="s">
        <v>5419</v>
      </c>
      <c r="C2013" s="6" t="s">
        <v>12</v>
      </c>
      <c r="D2013" s="6" t="s">
        <v>3574</v>
      </c>
      <c r="E2013" s="6" t="s">
        <v>5244</v>
      </c>
      <c r="F2013" s="6" t="s">
        <v>5420</v>
      </c>
      <c r="G2013" s="6" t="s">
        <v>16</v>
      </c>
      <c r="H2013" s="5">
        <v>3</v>
      </c>
      <c r="I2013" s="6" t="s">
        <v>5421</v>
      </c>
      <c r="J2013" s="5">
        <v>745</v>
      </c>
    </row>
    <row r="2014" s="2" customFormat="1" ht="27" spans="1:10">
      <c r="A2014" s="6">
        <f>2012</f>
        <v>2012</v>
      </c>
      <c r="B2014" s="6" t="s">
        <v>5422</v>
      </c>
      <c r="C2014" s="6" t="s">
        <v>12</v>
      </c>
      <c r="D2014" s="6" t="s">
        <v>3574</v>
      </c>
      <c r="E2014" s="6" t="s">
        <v>5244</v>
      </c>
      <c r="F2014" s="6" t="s">
        <v>5423</v>
      </c>
      <c r="G2014" s="6" t="s">
        <v>16</v>
      </c>
      <c r="H2014" s="5">
        <v>5</v>
      </c>
      <c r="I2014" s="6" t="s">
        <v>5424</v>
      </c>
      <c r="J2014" s="5">
        <v>696</v>
      </c>
    </row>
    <row r="2015" s="2" customFormat="1" spans="1:10">
      <c r="A2015" s="6">
        <f>2013</f>
        <v>2013</v>
      </c>
      <c r="B2015" s="6" t="s">
        <v>5425</v>
      </c>
      <c r="C2015" s="6" t="s">
        <v>12</v>
      </c>
      <c r="D2015" s="6" t="s">
        <v>3574</v>
      </c>
      <c r="E2015" s="6" t="s">
        <v>5244</v>
      </c>
      <c r="F2015" s="6" t="s">
        <v>5426</v>
      </c>
      <c r="G2015" s="6" t="s">
        <v>16</v>
      </c>
      <c r="H2015" s="5">
        <v>2</v>
      </c>
      <c r="I2015" s="6" t="s">
        <v>5427</v>
      </c>
      <c r="J2015" s="5">
        <v>440</v>
      </c>
    </row>
    <row r="2016" s="2" customFormat="1" spans="1:10">
      <c r="A2016" s="6">
        <f>2014</f>
        <v>2014</v>
      </c>
      <c r="B2016" s="6" t="s">
        <v>5428</v>
      </c>
      <c r="C2016" s="6" t="s">
        <v>12</v>
      </c>
      <c r="D2016" s="6" t="s">
        <v>3574</v>
      </c>
      <c r="E2016" s="6" t="s">
        <v>5244</v>
      </c>
      <c r="F2016" s="6" t="s">
        <v>5429</v>
      </c>
      <c r="G2016" s="6" t="s">
        <v>16</v>
      </c>
      <c r="H2016" s="5">
        <v>3</v>
      </c>
      <c r="I2016" s="6" t="s">
        <v>5430</v>
      </c>
      <c r="J2016" s="5">
        <v>680</v>
      </c>
    </row>
    <row r="2017" s="2" customFormat="1" ht="27" spans="1:10">
      <c r="A2017" s="6">
        <f>2015</f>
        <v>2015</v>
      </c>
      <c r="B2017" s="6" t="s">
        <v>5431</v>
      </c>
      <c r="C2017" s="6" t="s">
        <v>12</v>
      </c>
      <c r="D2017" s="6" t="s">
        <v>3574</v>
      </c>
      <c r="E2017" s="6" t="s">
        <v>5244</v>
      </c>
      <c r="F2017" s="6" t="s">
        <v>5432</v>
      </c>
      <c r="G2017" s="6" t="s">
        <v>16</v>
      </c>
      <c r="H2017" s="5">
        <v>5</v>
      </c>
      <c r="I2017" s="6" t="s">
        <v>5433</v>
      </c>
      <c r="J2017" s="5">
        <v>958</v>
      </c>
    </row>
    <row r="2018" s="2" customFormat="1" spans="1:10">
      <c r="A2018" s="6">
        <f>2016</f>
        <v>2016</v>
      </c>
      <c r="B2018" s="6" t="s">
        <v>5434</v>
      </c>
      <c r="C2018" s="6" t="s">
        <v>12</v>
      </c>
      <c r="D2018" s="6" t="s">
        <v>3574</v>
      </c>
      <c r="E2018" s="6" t="s">
        <v>5244</v>
      </c>
      <c r="F2018" s="6" t="s">
        <v>5435</v>
      </c>
      <c r="G2018" s="6" t="s">
        <v>16</v>
      </c>
      <c r="H2018" s="5">
        <v>3</v>
      </c>
      <c r="I2018" s="6" t="s">
        <v>5436</v>
      </c>
      <c r="J2018" s="5">
        <v>738</v>
      </c>
    </row>
    <row r="2019" s="2" customFormat="1" spans="1:10">
      <c r="A2019" s="6">
        <f>2017</f>
        <v>2017</v>
      </c>
      <c r="B2019" s="6" t="s">
        <v>5437</v>
      </c>
      <c r="C2019" s="6" t="s">
        <v>12</v>
      </c>
      <c r="D2019" s="6" t="s">
        <v>3574</v>
      </c>
      <c r="E2019" s="6" t="s">
        <v>5244</v>
      </c>
      <c r="F2019" s="6" t="s">
        <v>5438</v>
      </c>
      <c r="G2019" s="6" t="s">
        <v>16</v>
      </c>
      <c r="H2019" s="5">
        <v>1</v>
      </c>
      <c r="I2019" s="6" t="s">
        <v>5438</v>
      </c>
      <c r="J2019" s="5">
        <v>250</v>
      </c>
    </row>
    <row r="2020" s="2" customFormat="1" spans="1:10">
      <c r="A2020" s="6">
        <f>2018</f>
        <v>2018</v>
      </c>
      <c r="B2020" s="6" t="s">
        <v>5439</v>
      </c>
      <c r="C2020" s="6" t="s">
        <v>12</v>
      </c>
      <c r="D2020" s="6" t="s">
        <v>3574</v>
      </c>
      <c r="E2020" s="6" t="s">
        <v>5244</v>
      </c>
      <c r="F2020" s="6" t="s">
        <v>5440</v>
      </c>
      <c r="G2020" s="6" t="s">
        <v>16</v>
      </c>
      <c r="H2020" s="5">
        <v>2</v>
      </c>
      <c r="I2020" s="6" t="s">
        <v>5441</v>
      </c>
      <c r="J2020" s="5">
        <v>522</v>
      </c>
    </row>
    <row r="2021" s="2" customFormat="1" ht="27" spans="1:10">
      <c r="A2021" s="6">
        <f>2019</f>
        <v>2019</v>
      </c>
      <c r="B2021" s="6" t="s">
        <v>5442</v>
      </c>
      <c r="C2021" s="6" t="s">
        <v>12</v>
      </c>
      <c r="D2021" s="6" t="s">
        <v>3574</v>
      </c>
      <c r="E2021" s="6" t="s">
        <v>5244</v>
      </c>
      <c r="F2021" s="6" t="s">
        <v>5443</v>
      </c>
      <c r="G2021" s="6" t="s">
        <v>16</v>
      </c>
      <c r="H2021" s="5">
        <v>4</v>
      </c>
      <c r="I2021" s="6" t="s">
        <v>5444</v>
      </c>
      <c r="J2021" s="5">
        <v>850</v>
      </c>
    </row>
    <row r="2022" s="2" customFormat="1" spans="1:10">
      <c r="A2022" s="6">
        <f>2020</f>
        <v>2020</v>
      </c>
      <c r="B2022" s="6" t="s">
        <v>5445</v>
      </c>
      <c r="C2022" s="6" t="s">
        <v>12</v>
      </c>
      <c r="D2022" s="6" t="s">
        <v>3574</v>
      </c>
      <c r="E2022" s="6" t="s">
        <v>5244</v>
      </c>
      <c r="F2022" s="6" t="s">
        <v>5446</v>
      </c>
      <c r="G2022" s="6" t="s">
        <v>16</v>
      </c>
      <c r="H2022" s="5">
        <v>2</v>
      </c>
      <c r="I2022" s="6" t="s">
        <v>5447</v>
      </c>
      <c r="J2022" s="5">
        <v>590</v>
      </c>
    </row>
    <row r="2023" s="2" customFormat="1" spans="1:10">
      <c r="A2023" s="6">
        <f>2021</f>
        <v>2021</v>
      </c>
      <c r="B2023" s="6" t="s">
        <v>5448</v>
      </c>
      <c r="C2023" s="6" t="s">
        <v>12</v>
      </c>
      <c r="D2023" s="6" t="s">
        <v>3574</v>
      </c>
      <c r="E2023" s="6" t="s">
        <v>5244</v>
      </c>
      <c r="F2023" s="6" t="s">
        <v>5449</v>
      </c>
      <c r="G2023" s="6" t="s">
        <v>16</v>
      </c>
      <c r="H2023" s="5">
        <v>1</v>
      </c>
      <c r="I2023" s="6" t="s">
        <v>5449</v>
      </c>
      <c r="J2023" s="5">
        <v>243</v>
      </c>
    </row>
    <row r="2024" s="2" customFormat="1" spans="1:10">
      <c r="A2024" s="6">
        <f>2022</f>
        <v>2022</v>
      </c>
      <c r="B2024" s="6" t="s">
        <v>5450</v>
      </c>
      <c r="C2024" s="6" t="s">
        <v>12</v>
      </c>
      <c r="D2024" s="6" t="s">
        <v>3574</v>
      </c>
      <c r="E2024" s="6" t="s">
        <v>5244</v>
      </c>
      <c r="F2024" s="6" t="s">
        <v>5451</v>
      </c>
      <c r="G2024" s="6" t="s">
        <v>16</v>
      </c>
      <c r="H2024" s="5">
        <v>2</v>
      </c>
      <c r="I2024" s="6" t="s">
        <v>5452</v>
      </c>
      <c r="J2024" s="5">
        <v>535</v>
      </c>
    </row>
    <row r="2025" s="2" customFormat="1" spans="1:10">
      <c r="A2025" s="6">
        <f>2023</f>
        <v>2023</v>
      </c>
      <c r="B2025" s="6" t="s">
        <v>5453</v>
      </c>
      <c r="C2025" s="6" t="s">
        <v>12</v>
      </c>
      <c r="D2025" s="6" t="s">
        <v>3574</v>
      </c>
      <c r="E2025" s="6" t="s">
        <v>5244</v>
      </c>
      <c r="F2025" s="6" t="s">
        <v>5454</v>
      </c>
      <c r="G2025" s="6" t="s">
        <v>16</v>
      </c>
      <c r="H2025" s="5">
        <v>3</v>
      </c>
      <c r="I2025" s="6" t="s">
        <v>5455</v>
      </c>
      <c r="J2025" s="5">
        <v>794</v>
      </c>
    </row>
    <row r="2026" s="2" customFormat="1" spans="1:10">
      <c r="A2026" s="6">
        <f>2024</f>
        <v>2024</v>
      </c>
      <c r="B2026" s="6" t="s">
        <v>5456</v>
      </c>
      <c r="C2026" s="6" t="s">
        <v>12</v>
      </c>
      <c r="D2026" s="6" t="s">
        <v>3574</v>
      </c>
      <c r="E2026" s="6" t="s">
        <v>5244</v>
      </c>
      <c r="F2026" s="6" t="s">
        <v>5457</v>
      </c>
      <c r="G2026" s="6" t="s">
        <v>16</v>
      </c>
      <c r="H2026" s="5">
        <v>2</v>
      </c>
      <c r="I2026" s="6" t="s">
        <v>5458</v>
      </c>
      <c r="J2026" s="5">
        <v>303</v>
      </c>
    </row>
    <row r="2027" s="2" customFormat="1" spans="1:10">
      <c r="A2027" s="6">
        <f>2025</f>
        <v>2025</v>
      </c>
      <c r="B2027" s="6" t="s">
        <v>5459</v>
      </c>
      <c r="C2027" s="6" t="s">
        <v>12</v>
      </c>
      <c r="D2027" s="6" t="s">
        <v>3574</v>
      </c>
      <c r="E2027" s="6" t="s">
        <v>5244</v>
      </c>
      <c r="F2027" s="6" t="s">
        <v>5460</v>
      </c>
      <c r="G2027" s="6" t="s">
        <v>16</v>
      </c>
      <c r="H2027" s="5">
        <v>1</v>
      </c>
      <c r="I2027" s="6" t="s">
        <v>5460</v>
      </c>
      <c r="J2027" s="5">
        <v>400</v>
      </c>
    </row>
    <row r="2028" s="2" customFormat="1" spans="1:10">
      <c r="A2028" s="6">
        <f>2026</f>
        <v>2026</v>
      </c>
      <c r="B2028" s="6" t="s">
        <v>5461</v>
      </c>
      <c r="C2028" s="6" t="s">
        <v>12</v>
      </c>
      <c r="D2028" s="6" t="s">
        <v>3574</v>
      </c>
      <c r="E2028" s="6" t="s">
        <v>5244</v>
      </c>
      <c r="F2028" s="6" t="s">
        <v>5462</v>
      </c>
      <c r="G2028" s="6" t="s">
        <v>16</v>
      </c>
      <c r="H2028" s="5">
        <v>1</v>
      </c>
      <c r="I2028" s="6" t="s">
        <v>5462</v>
      </c>
      <c r="J2028" s="5">
        <v>300</v>
      </c>
    </row>
    <row r="2029" s="2" customFormat="1" spans="1:10">
      <c r="A2029" s="6">
        <f>2027</f>
        <v>2027</v>
      </c>
      <c r="B2029" s="6" t="s">
        <v>5463</v>
      </c>
      <c r="C2029" s="6" t="s">
        <v>12</v>
      </c>
      <c r="D2029" s="6" t="s">
        <v>3574</v>
      </c>
      <c r="E2029" s="6" t="s">
        <v>5244</v>
      </c>
      <c r="F2029" s="6" t="s">
        <v>5464</v>
      </c>
      <c r="G2029" s="6" t="s">
        <v>16</v>
      </c>
      <c r="H2029" s="5">
        <v>3</v>
      </c>
      <c r="I2029" s="6" t="s">
        <v>5465</v>
      </c>
      <c r="J2029" s="5">
        <v>727</v>
      </c>
    </row>
    <row r="2030" s="2" customFormat="1" spans="1:10">
      <c r="A2030" s="6">
        <f>2028</f>
        <v>2028</v>
      </c>
      <c r="B2030" s="6" t="s">
        <v>5466</v>
      </c>
      <c r="C2030" s="6" t="s">
        <v>12</v>
      </c>
      <c r="D2030" s="6" t="s">
        <v>3574</v>
      </c>
      <c r="E2030" s="6" t="s">
        <v>5244</v>
      </c>
      <c r="F2030" s="6" t="s">
        <v>5467</v>
      </c>
      <c r="G2030" s="6" t="s">
        <v>16</v>
      </c>
      <c r="H2030" s="5">
        <v>1</v>
      </c>
      <c r="I2030" s="6" t="s">
        <v>5467</v>
      </c>
      <c r="J2030" s="5">
        <v>358</v>
      </c>
    </row>
    <row r="2031" s="2" customFormat="1" ht="27" spans="1:10">
      <c r="A2031" s="6">
        <f>2029</f>
        <v>2029</v>
      </c>
      <c r="B2031" s="6" t="s">
        <v>5468</v>
      </c>
      <c r="C2031" s="6" t="s">
        <v>12</v>
      </c>
      <c r="D2031" s="6" t="s">
        <v>3574</v>
      </c>
      <c r="E2031" s="6" t="s">
        <v>5244</v>
      </c>
      <c r="F2031" s="6" t="s">
        <v>3819</v>
      </c>
      <c r="G2031" s="6" t="s">
        <v>16</v>
      </c>
      <c r="H2031" s="5">
        <v>4</v>
      </c>
      <c r="I2031" s="6" t="s">
        <v>5469</v>
      </c>
      <c r="J2031" s="5">
        <v>890</v>
      </c>
    </row>
    <row r="2032" s="2" customFormat="1" spans="1:10">
      <c r="A2032" s="6">
        <f>2030</f>
        <v>2030</v>
      </c>
      <c r="B2032" s="6" t="s">
        <v>5470</v>
      </c>
      <c r="C2032" s="6" t="s">
        <v>12</v>
      </c>
      <c r="D2032" s="6" t="s">
        <v>3574</v>
      </c>
      <c r="E2032" s="6" t="s">
        <v>5244</v>
      </c>
      <c r="F2032" s="6" t="s">
        <v>5471</v>
      </c>
      <c r="G2032" s="6" t="s">
        <v>16</v>
      </c>
      <c r="H2032" s="5">
        <v>1</v>
      </c>
      <c r="I2032" s="6" t="s">
        <v>5471</v>
      </c>
      <c r="J2032" s="5">
        <v>318</v>
      </c>
    </row>
    <row r="2033" s="2" customFormat="1" ht="27" spans="1:10">
      <c r="A2033" s="6">
        <f>2031</f>
        <v>2031</v>
      </c>
      <c r="B2033" s="6" t="s">
        <v>5472</v>
      </c>
      <c r="C2033" s="6" t="s">
        <v>12</v>
      </c>
      <c r="D2033" s="6" t="s">
        <v>3574</v>
      </c>
      <c r="E2033" s="6" t="s">
        <v>5244</v>
      </c>
      <c r="F2033" s="6" t="s">
        <v>5473</v>
      </c>
      <c r="G2033" s="6" t="s">
        <v>16</v>
      </c>
      <c r="H2033" s="5">
        <v>5</v>
      </c>
      <c r="I2033" s="6" t="s">
        <v>5474</v>
      </c>
      <c r="J2033" s="5">
        <v>1700</v>
      </c>
    </row>
    <row r="2034" s="2" customFormat="1" spans="1:10">
      <c r="A2034" s="6">
        <f>2032</f>
        <v>2032</v>
      </c>
      <c r="B2034" s="6" t="s">
        <v>5475</v>
      </c>
      <c r="C2034" s="6" t="s">
        <v>12</v>
      </c>
      <c r="D2034" s="6" t="s">
        <v>3574</v>
      </c>
      <c r="E2034" s="6" t="s">
        <v>5244</v>
      </c>
      <c r="F2034" s="6" t="s">
        <v>5476</v>
      </c>
      <c r="G2034" s="6" t="s">
        <v>16</v>
      </c>
      <c r="H2034" s="5">
        <v>1</v>
      </c>
      <c r="I2034" s="6" t="s">
        <v>5476</v>
      </c>
      <c r="J2034" s="5">
        <v>240</v>
      </c>
    </row>
    <row r="2035" s="2" customFormat="1" spans="1:10">
      <c r="A2035" s="6">
        <f>2033</f>
        <v>2033</v>
      </c>
      <c r="B2035" s="6" t="s">
        <v>5477</v>
      </c>
      <c r="C2035" s="6" t="s">
        <v>12</v>
      </c>
      <c r="D2035" s="6" t="s">
        <v>3574</v>
      </c>
      <c r="E2035" s="6" t="s">
        <v>5244</v>
      </c>
      <c r="F2035" s="6" t="s">
        <v>5478</v>
      </c>
      <c r="G2035" s="6" t="s">
        <v>16</v>
      </c>
      <c r="H2035" s="5">
        <v>1</v>
      </c>
      <c r="I2035" s="6" t="s">
        <v>5478</v>
      </c>
      <c r="J2035" s="5">
        <v>263</v>
      </c>
    </row>
    <row r="2036" s="2" customFormat="1" ht="27" spans="1:10">
      <c r="A2036" s="6">
        <f>2034</f>
        <v>2034</v>
      </c>
      <c r="B2036" s="6" t="s">
        <v>5479</v>
      </c>
      <c r="C2036" s="6" t="s">
        <v>12</v>
      </c>
      <c r="D2036" s="6" t="s">
        <v>3574</v>
      </c>
      <c r="E2036" s="6" t="s">
        <v>5244</v>
      </c>
      <c r="F2036" s="6" t="s">
        <v>5480</v>
      </c>
      <c r="G2036" s="6" t="s">
        <v>16</v>
      </c>
      <c r="H2036" s="5">
        <v>4</v>
      </c>
      <c r="I2036" s="6" t="s">
        <v>5481</v>
      </c>
      <c r="J2036" s="5">
        <v>508</v>
      </c>
    </row>
    <row r="2037" s="2" customFormat="1" spans="1:10">
      <c r="A2037" s="6">
        <f>2035</f>
        <v>2035</v>
      </c>
      <c r="B2037" s="6" t="s">
        <v>5482</v>
      </c>
      <c r="C2037" s="6" t="s">
        <v>12</v>
      </c>
      <c r="D2037" s="6" t="s">
        <v>3574</v>
      </c>
      <c r="E2037" s="6" t="s">
        <v>5244</v>
      </c>
      <c r="F2037" s="6" t="s">
        <v>5483</v>
      </c>
      <c r="G2037" s="6" t="s">
        <v>16</v>
      </c>
      <c r="H2037" s="5">
        <v>1</v>
      </c>
      <c r="I2037" s="6" t="s">
        <v>5483</v>
      </c>
      <c r="J2037" s="5">
        <v>260</v>
      </c>
    </row>
    <row r="2038" s="2" customFormat="1" spans="1:10">
      <c r="A2038" s="6">
        <f>2036</f>
        <v>2036</v>
      </c>
      <c r="B2038" s="6" t="s">
        <v>5484</v>
      </c>
      <c r="C2038" s="6" t="s">
        <v>12</v>
      </c>
      <c r="D2038" s="6" t="s">
        <v>3574</v>
      </c>
      <c r="E2038" s="6" t="s">
        <v>5244</v>
      </c>
      <c r="F2038" s="6" t="s">
        <v>5485</v>
      </c>
      <c r="G2038" s="6" t="s">
        <v>16</v>
      </c>
      <c r="H2038" s="5">
        <v>1</v>
      </c>
      <c r="I2038" s="6" t="s">
        <v>5485</v>
      </c>
      <c r="J2038" s="5">
        <v>360</v>
      </c>
    </row>
    <row r="2039" s="2" customFormat="1" spans="1:10">
      <c r="A2039" s="6">
        <f>2037</f>
        <v>2037</v>
      </c>
      <c r="B2039" s="6" t="s">
        <v>5486</v>
      </c>
      <c r="C2039" s="6" t="s">
        <v>12</v>
      </c>
      <c r="D2039" s="6" t="s">
        <v>3574</v>
      </c>
      <c r="E2039" s="6" t="s">
        <v>5244</v>
      </c>
      <c r="F2039" s="6" t="s">
        <v>5487</v>
      </c>
      <c r="G2039" s="6" t="s">
        <v>16</v>
      </c>
      <c r="H2039" s="5">
        <v>3</v>
      </c>
      <c r="I2039" s="6" t="s">
        <v>5488</v>
      </c>
      <c r="J2039" s="5">
        <v>614</v>
      </c>
    </row>
    <row r="2040" s="2" customFormat="1" spans="1:10">
      <c r="A2040" s="6">
        <f>2038</f>
        <v>2038</v>
      </c>
      <c r="B2040" s="6" t="s">
        <v>5489</v>
      </c>
      <c r="C2040" s="6" t="s">
        <v>12</v>
      </c>
      <c r="D2040" s="6" t="s">
        <v>3574</v>
      </c>
      <c r="E2040" s="6" t="s">
        <v>5244</v>
      </c>
      <c r="F2040" s="6" t="s">
        <v>5490</v>
      </c>
      <c r="G2040" s="6" t="s">
        <v>16</v>
      </c>
      <c r="H2040" s="5">
        <v>2</v>
      </c>
      <c r="I2040" s="6" t="s">
        <v>5491</v>
      </c>
      <c r="J2040" s="5">
        <v>550</v>
      </c>
    </row>
    <row r="2041" s="2" customFormat="1" spans="1:10">
      <c r="A2041" s="6">
        <f>2039</f>
        <v>2039</v>
      </c>
      <c r="B2041" s="6" t="s">
        <v>5492</v>
      </c>
      <c r="C2041" s="6" t="s">
        <v>12</v>
      </c>
      <c r="D2041" s="6" t="s">
        <v>3574</v>
      </c>
      <c r="E2041" s="6" t="s">
        <v>5244</v>
      </c>
      <c r="F2041" s="6" t="s">
        <v>5493</v>
      </c>
      <c r="G2041" s="6" t="s">
        <v>16</v>
      </c>
      <c r="H2041" s="5">
        <v>2</v>
      </c>
      <c r="I2041" s="6" t="s">
        <v>5494</v>
      </c>
      <c r="J2041" s="5">
        <v>520</v>
      </c>
    </row>
    <row r="2042" s="2" customFormat="1" ht="27" spans="1:10">
      <c r="A2042" s="6">
        <f>2040</f>
        <v>2040</v>
      </c>
      <c r="B2042" s="6" t="s">
        <v>5495</v>
      </c>
      <c r="C2042" s="6" t="s">
        <v>12</v>
      </c>
      <c r="D2042" s="6" t="s">
        <v>3574</v>
      </c>
      <c r="E2042" s="6" t="s">
        <v>5244</v>
      </c>
      <c r="F2042" s="6" t="s">
        <v>5496</v>
      </c>
      <c r="G2042" s="6" t="s">
        <v>16</v>
      </c>
      <c r="H2042" s="5">
        <v>5</v>
      </c>
      <c r="I2042" s="6" t="s">
        <v>5497</v>
      </c>
      <c r="J2042" s="5">
        <v>800</v>
      </c>
    </row>
    <row r="2043" s="2" customFormat="1" spans="1:10">
      <c r="A2043" s="6">
        <f>2041</f>
        <v>2041</v>
      </c>
      <c r="B2043" s="6" t="s">
        <v>5498</v>
      </c>
      <c r="C2043" s="6" t="s">
        <v>12</v>
      </c>
      <c r="D2043" s="6" t="s">
        <v>3574</v>
      </c>
      <c r="E2043" s="6" t="s">
        <v>5244</v>
      </c>
      <c r="F2043" s="6" t="s">
        <v>5499</v>
      </c>
      <c r="G2043" s="6" t="s">
        <v>16</v>
      </c>
      <c r="H2043" s="5">
        <v>2</v>
      </c>
      <c r="I2043" s="6" t="s">
        <v>5500</v>
      </c>
      <c r="J2043" s="5">
        <v>520</v>
      </c>
    </row>
    <row r="2044" s="2" customFormat="1" spans="1:10">
      <c r="A2044" s="6">
        <f>2042</f>
        <v>2042</v>
      </c>
      <c r="B2044" s="6" t="s">
        <v>5501</v>
      </c>
      <c r="C2044" s="6" t="s">
        <v>12</v>
      </c>
      <c r="D2044" s="6" t="s">
        <v>3574</v>
      </c>
      <c r="E2044" s="6" t="s">
        <v>5244</v>
      </c>
      <c r="F2044" s="6" t="s">
        <v>5502</v>
      </c>
      <c r="G2044" s="6" t="s">
        <v>16</v>
      </c>
      <c r="H2044" s="5">
        <v>3</v>
      </c>
      <c r="I2044" s="6" t="s">
        <v>5503</v>
      </c>
      <c r="J2044" s="5">
        <v>580</v>
      </c>
    </row>
    <row r="2045" s="2" customFormat="1" spans="1:10">
      <c r="A2045" s="6">
        <f>2043</f>
        <v>2043</v>
      </c>
      <c r="B2045" s="6" t="s">
        <v>5504</v>
      </c>
      <c r="C2045" s="6" t="s">
        <v>12</v>
      </c>
      <c r="D2045" s="6" t="s">
        <v>5505</v>
      </c>
      <c r="E2045" s="6" t="s">
        <v>5506</v>
      </c>
      <c r="F2045" s="6" t="s">
        <v>5507</v>
      </c>
      <c r="G2045" s="6" t="s">
        <v>16</v>
      </c>
      <c r="H2045" s="5">
        <v>1</v>
      </c>
      <c r="I2045" s="6" t="s">
        <v>5507</v>
      </c>
      <c r="J2045" s="5">
        <v>490</v>
      </c>
    </row>
    <row r="2046" s="2" customFormat="1" spans="1:10">
      <c r="A2046" s="6">
        <f>2044</f>
        <v>2044</v>
      </c>
      <c r="B2046" s="6" t="s">
        <v>5508</v>
      </c>
      <c r="C2046" s="6" t="s">
        <v>12</v>
      </c>
      <c r="D2046" s="6" t="s">
        <v>5505</v>
      </c>
      <c r="E2046" s="6" t="s">
        <v>5506</v>
      </c>
      <c r="F2046" s="6" t="s">
        <v>5509</v>
      </c>
      <c r="G2046" s="6" t="s">
        <v>16</v>
      </c>
      <c r="H2046" s="5">
        <v>1</v>
      </c>
      <c r="I2046" s="6" t="s">
        <v>5509</v>
      </c>
      <c r="J2046" s="5">
        <v>540</v>
      </c>
    </row>
    <row r="2047" s="2" customFormat="1" ht="27" spans="1:10">
      <c r="A2047" s="6">
        <f>2045</f>
        <v>2045</v>
      </c>
      <c r="B2047" s="6" t="s">
        <v>5510</v>
      </c>
      <c r="C2047" s="6" t="s">
        <v>12</v>
      </c>
      <c r="D2047" s="6" t="s">
        <v>5505</v>
      </c>
      <c r="E2047" s="6" t="s">
        <v>5506</v>
      </c>
      <c r="F2047" s="6" t="s">
        <v>5511</v>
      </c>
      <c r="G2047" s="6" t="s">
        <v>16</v>
      </c>
      <c r="H2047" s="5">
        <v>4</v>
      </c>
      <c r="I2047" s="6" t="s">
        <v>5512</v>
      </c>
      <c r="J2047" s="5">
        <v>1148</v>
      </c>
    </row>
    <row r="2048" s="2" customFormat="1" spans="1:10">
      <c r="A2048" s="6">
        <f>2046</f>
        <v>2046</v>
      </c>
      <c r="B2048" s="6" t="s">
        <v>5513</v>
      </c>
      <c r="C2048" s="6" t="s">
        <v>12</v>
      </c>
      <c r="D2048" s="6" t="s">
        <v>5505</v>
      </c>
      <c r="E2048" s="6" t="s">
        <v>5506</v>
      </c>
      <c r="F2048" s="6" t="s">
        <v>5514</v>
      </c>
      <c r="G2048" s="6" t="s">
        <v>16</v>
      </c>
      <c r="H2048" s="5">
        <v>2</v>
      </c>
      <c r="I2048" s="6" t="s">
        <v>5515</v>
      </c>
      <c r="J2048" s="5">
        <v>1056</v>
      </c>
    </row>
    <row r="2049" s="2" customFormat="1" spans="1:10">
      <c r="A2049" s="6">
        <f>2047</f>
        <v>2047</v>
      </c>
      <c r="B2049" s="6" t="s">
        <v>5516</v>
      </c>
      <c r="C2049" s="6" t="s">
        <v>12</v>
      </c>
      <c r="D2049" s="6" t="s">
        <v>5505</v>
      </c>
      <c r="E2049" s="6" t="s">
        <v>5506</v>
      </c>
      <c r="F2049" s="6" t="s">
        <v>5517</v>
      </c>
      <c r="G2049" s="6" t="s">
        <v>16</v>
      </c>
      <c r="H2049" s="5">
        <v>3</v>
      </c>
      <c r="I2049" s="6" t="s">
        <v>5518</v>
      </c>
      <c r="J2049" s="5">
        <v>630</v>
      </c>
    </row>
    <row r="2050" s="2" customFormat="1" spans="1:10">
      <c r="A2050" s="6">
        <f>2048</f>
        <v>2048</v>
      </c>
      <c r="B2050" s="6" t="s">
        <v>5519</v>
      </c>
      <c r="C2050" s="6" t="s">
        <v>12</v>
      </c>
      <c r="D2050" s="6" t="s">
        <v>5505</v>
      </c>
      <c r="E2050" s="6" t="s">
        <v>5506</v>
      </c>
      <c r="F2050" s="6" t="s">
        <v>5520</v>
      </c>
      <c r="G2050" s="6" t="s">
        <v>16</v>
      </c>
      <c r="H2050" s="5">
        <v>2</v>
      </c>
      <c r="I2050" s="6" t="s">
        <v>5521</v>
      </c>
      <c r="J2050" s="5">
        <v>420</v>
      </c>
    </row>
    <row r="2051" s="2" customFormat="1" spans="1:10">
      <c r="A2051" s="6">
        <f>2049</f>
        <v>2049</v>
      </c>
      <c r="B2051" s="6" t="s">
        <v>5522</v>
      </c>
      <c r="C2051" s="6" t="s">
        <v>12</v>
      </c>
      <c r="D2051" s="6" t="s">
        <v>5505</v>
      </c>
      <c r="E2051" s="6" t="s">
        <v>5506</v>
      </c>
      <c r="F2051" s="6" t="s">
        <v>5523</v>
      </c>
      <c r="G2051" s="6" t="s">
        <v>16</v>
      </c>
      <c r="H2051" s="5">
        <v>2</v>
      </c>
      <c r="I2051" s="6" t="s">
        <v>5524</v>
      </c>
      <c r="J2051" s="5">
        <v>580</v>
      </c>
    </row>
    <row r="2052" s="2" customFormat="1" ht="27" spans="1:10">
      <c r="A2052" s="6">
        <f>2050</f>
        <v>2050</v>
      </c>
      <c r="B2052" s="6" t="s">
        <v>5525</v>
      </c>
      <c r="C2052" s="6" t="s">
        <v>12</v>
      </c>
      <c r="D2052" s="6" t="s">
        <v>5505</v>
      </c>
      <c r="E2052" s="6" t="s">
        <v>5506</v>
      </c>
      <c r="F2052" s="6" t="s">
        <v>5526</v>
      </c>
      <c r="G2052" s="6" t="s">
        <v>16</v>
      </c>
      <c r="H2052" s="5">
        <v>4</v>
      </c>
      <c r="I2052" s="6" t="s">
        <v>5527</v>
      </c>
      <c r="J2052" s="5">
        <v>1840</v>
      </c>
    </row>
    <row r="2053" s="2" customFormat="1" spans="1:10">
      <c r="A2053" s="6">
        <f>2051</f>
        <v>2051</v>
      </c>
      <c r="B2053" s="6" t="s">
        <v>5528</v>
      </c>
      <c r="C2053" s="6" t="s">
        <v>12</v>
      </c>
      <c r="D2053" s="6" t="s">
        <v>5505</v>
      </c>
      <c r="E2053" s="6" t="s">
        <v>5506</v>
      </c>
      <c r="F2053" s="6" t="s">
        <v>5529</v>
      </c>
      <c r="G2053" s="6" t="s">
        <v>16</v>
      </c>
      <c r="H2053" s="5">
        <v>1</v>
      </c>
      <c r="I2053" s="6" t="s">
        <v>5529</v>
      </c>
      <c r="J2053" s="5">
        <v>360</v>
      </c>
    </row>
    <row r="2054" s="2" customFormat="1" spans="1:10">
      <c r="A2054" s="6">
        <f>2052</f>
        <v>2052</v>
      </c>
      <c r="B2054" s="6" t="s">
        <v>5530</v>
      </c>
      <c r="C2054" s="6" t="s">
        <v>12</v>
      </c>
      <c r="D2054" s="6" t="s">
        <v>5505</v>
      </c>
      <c r="E2054" s="6" t="s">
        <v>5506</v>
      </c>
      <c r="F2054" s="6" t="s">
        <v>5531</v>
      </c>
      <c r="G2054" s="6" t="s">
        <v>16</v>
      </c>
      <c r="H2054" s="5">
        <v>1</v>
      </c>
      <c r="I2054" s="6" t="s">
        <v>5531</v>
      </c>
      <c r="J2054" s="5">
        <v>395</v>
      </c>
    </row>
    <row r="2055" s="2" customFormat="1" ht="27" spans="1:10">
      <c r="A2055" s="6">
        <f>2053</f>
        <v>2053</v>
      </c>
      <c r="B2055" s="6" t="s">
        <v>5532</v>
      </c>
      <c r="C2055" s="6" t="s">
        <v>12</v>
      </c>
      <c r="D2055" s="6" t="s">
        <v>5505</v>
      </c>
      <c r="E2055" s="6" t="s">
        <v>5506</v>
      </c>
      <c r="F2055" s="6" t="s">
        <v>5533</v>
      </c>
      <c r="G2055" s="6" t="s">
        <v>16</v>
      </c>
      <c r="H2055" s="5">
        <v>4</v>
      </c>
      <c r="I2055" s="6" t="s">
        <v>5534</v>
      </c>
      <c r="J2055" s="5">
        <v>960</v>
      </c>
    </row>
    <row r="2056" s="2" customFormat="1" spans="1:10">
      <c r="A2056" s="6">
        <f>2054</f>
        <v>2054</v>
      </c>
      <c r="B2056" s="6" t="s">
        <v>5535</v>
      </c>
      <c r="C2056" s="6" t="s">
        <v>12</v>
      </c>
      <c r="D2056" s="6" t="s">
        <v>5505</v>
      </c>
      <c r="E2056" s="6" t="s">
        <v>5506</v>
      </c>
      <c r="F2056" s="6" t="s">
        <v>5536</v>
      </c>
      <c r="G2056" s="6" t="s">
        <v>16</v>
      </c>
      <c r="H2056" s="5">
        <v>1</v>
      </c>
      <c r="I2056" s="6" t="s">
        <v>5536</v>
      </c>
      <c r="J2056" s="5">
        <v>400</v>
      </c>
    </row>
    <row r="2057" s="2" customFormat="1" spans="1:10">
      <c r="A2057" s="6">
        <f>2055</f>
        <v>2055</v>
      </c>
      <c r="B2057" s="6" t="s">
        <v>5537</v>
      </c>
      <c r="C2057" s="6" t="s">
        <v>12</v>
      </c>
      <c r="D2057" s="6" t="s">
        <v>5505</v>
      </c>
      <c r="E2057" s="6" t="s">
        <v>5506</v>
      </c>
      <c r="F2057" s="6" t="s">
        <v>5538</v>
      </c>
      <c r="G2057" s="6" t="s">
        <v>16</v>
      </c>
      <c r="H2057" s="5">
        <v>1</v>
      </c>
      <c r="I2057" s="6" t="s">
        <v>5538</v>
      </c>
      <c r="J2057" s="5">
        <v>302</v>
      </c>
    </row>
    <row r="2058" s="2" customFormat="1" spans="1:10">
      <c r="A2058" s="6">
        <f>2056</f>
        <v>2056</v>
      </c>
      <c r="B2058" s="6" t="s">
        <v>5539</v>
      </c>
      <c r="C2058" s="6" t="s">
        <v>12</v>
      </c>
      <c r="D2058" s="6" t="s">
        <v>5505</v>
      </c>
      <c r="E2058" s="6" t="s">
        <v>5506</v>
      </c>
      <c r="F2058" s="6" t="s">
        <v>5540</v>
      </c>
      <c r="G2058" s="6" t="s">
        <v>16</v>
      </c>
      <c r="H2058" s="5">
        <v>1</v>
      </c>
      <c r="I2058" s="6" t="s">
        <v>5540</v>
      </c>
      <c r="J2058" s="5">
        <v>260</v>
      </c>
    </row>
    <row r="2059" s="2" customFormat="1" spans="1:10">
      <c r="A2059" s="6">
        <f>2057</f>
        <v>2057</v>
      </c>
      <c r="B2059" s="6" t="s">
        <v>5541</v>
      </c>
      <c r="C2059" s="6" t="s">
        <v>12</v>
      </c>
      <c r="D2059" s="6" t="s">
        <v>5505</v>
      </c>
      <c r="E2059" s="6" t="s">
        <v>5506</v>
      </c>
      <c r="F2059" s="6" t="s">
        <v>5542</v>
      </c>
      <c r="G2059" s="6" t="s">
        <v>16</v>
      </c>
      <c r="H2059" s="5">
        <v>1</v>
      </c>
      <c r="I2059" s="6" t="s">
        <v>5542</v>
      </c>
      <c r="J2059" s="5">
        <v>238</v>
      </c>
    </row>
    <row r="2060" s="2" customFormat="1" spans="1:10">
      <c r="A2060" s="6">
        <f>2058</f>
        <v>2058</v>
      </c>
      <c r="B2060" s="6" t="s">
        <v>5543</v>
      </c>
      <c r="C2060" s="6" t="s">
        <v>12</v>
      </c>
      <c r="D2060" s="6" t="s">
        <v>5505</v>
      </c>
      <c r="E2060" s="6" t="s">
        <v>5506</v>
      </c>
      <c r="F2060" s="6" t="s">
        <v>5544</v>
      </c>
      <c r="G2060" s="6" t="s">
        <v>16</v>
      </c>
      <c r="H2060" s="5">
        <v>3</v>
      </c>
      <c r="I2060" s="6" t="s">
        <v>5545</v>
      </c>
      <c r="J2060" s="5">
        <v>762</v>
      </c>
    </row>
    <row r="2061" s="2" customFormat="1" spans="1:10">
      <c r="A2061" s="6">
        <f>2059</f>
        <v>2059</v>
      </c>
      <c r="B2061" s="6" t="s">
        <v>5546</v>
      </c>
      <c r="C2061" s="6" t="s">
        <v>12</v>
      </c>
      <c r="D2061" s="6" t="s">
        <v>5505</v>
      </c>
      <c r="E2061" s="6" t="s">
        <v>5506</v>
      </c>
      <c r="F2061" s="6" t="s">
        <v>5547</v>
      </c>
      <c r="G2061" s="6" t="s">
        <v>16</v>
      </c>
      <c r="H2061" s="5">
        <v>1</v>
      </c>
      <c r="I2061" s="6" t="s">
        <v>5547</v>
      </c>
      <c r="J2061" s="5">
        <v>300</v>
      </c>
    </row>
    <row r="2062" s="2" customFormat="1" spans="1:10">
      <c r="A2062" s="6">
        <f>2060</f>
        <v>2060</v>
      </c>
      <c r="B2062" s="6" t="s">
        <v>5548</v>
      </c>
      <c r="C2062" s="6" t="s">
        <v>12</v>
      </c>
      <c r="D2062" s="6" t="s">
        <v>5505</v>
      </c>
      <c r="E2062" s="6" t="s">
        <v>5506</v>
      </c>
      <c r="F2062" s="6" t="s">
        <v>5549</v>
      </c>
      <c r="G2062" s="6" t="s">
        <v>16</v>
      </c>
      <c r="H2062" s="5">
        <v>1</v>
      </c>
      <c r="I2062" s="6" t="s">
        <v>5549</v>
      </c>
      <c r="J2062" s="5">
        <v>271</v>
      </c>
    </row>
    <row r="2063" s="2" customFormat="1" spans="1:10">
      <c r="A2063" s="6">
        <f>2061</f>
        <v>2061</v>
      </c>
      <c r="B2063" s="6" t="s">
        <v>5550</v>
      </c>
      <c r="C2063" s="6" t="s">
        <v>12</v>
      </c>
      <c r="D2063" s="6" t="s">
        <v>5505</v>
      </c>
      <c r="E2063" s="6" t="s">
        <v>5506</v>
      </c>
      <c r="F2063" s="6" t="s">
        <v>5551</v>
      </c>
      <c r="G2063" s="6" t="s">
        <v>16</v>
      </c>
      <c r="H2063" s="5">
        <v>3</v>
      </c>
      <c r="I2063" s="6" t="s">
        <v>5552</v>
      </c>
      <c r="J2063" s="5">
        <v>780</v>
      </c>
    </row>
    <row r="2064" s="2" customFormat="1" spans="1:10">
      <c r="A2064" s="6">
        <f>2062</f>
        <v>2062</v>
      </c>
      <c r="B2064" s="6" t="s">
        <v>5553</v>
      </c>
      <c r="C2064" s="6" t="s">
        <v>12</v>
      </c>
      <c r="D2064" s="6" t="s">
        <v>5505</v>
      </c>
      <c r="E2064" s="6" t="s">
        <v>5506</v>
      </c>
      <c r="F2064" s="6" t="s">
        <v>5554</v>
      </c>
      <c r="G2064" s="6" t="s">
        <v>16</v>
      </c>
      <c r="H2064" s="5">
        <v>1</v>
      </c>
      <c r="I2064" s="6" t="s">
        <v>5554</v>
      </c>
      <c r="J2064" s="5">
        <v>263</v>
      </c>
    </row>
    <row r="2065" s="2" customFormat="1" spans="1:10">
      <c r="A2065" s="6">
        <f>2063</f>
        <v>2063</v>
      </c>
      <c r="B2065" s="6" t="s">
        <v>5555</v>
      </c>
      <c r="C2065" s="6" t="s">
        <v>12</v>
      </c>
      <c r="D2065" s="6" t="s">
        <v>5505</v>
      </c>
      <c r="E2065" s="6" t="s">
        <v>5506</v>
      </c>
      <c r="F2065" s="6" t="s">
        <v>5556</v>
      </c>
      <c r="G2065" s="6" t="s">
        <v>16</v>
      </c>
      <c r="H2065" s="5">
        <v>1</v>
      </c>
      <c r="I2065" s="6" t="s">
        <v>5556</v>
      </c>
      <c r="J2065" s="5">
        <v>365</v>
      </c>
    </row>
    <row r="2066" s="2" customFormat="1" spans="1:10">
      <c r="A2066" s="6">
        <f>2064</f>
        <v>2064</v>
      </c>
      <c r="B2066" s="6" t="s">
        <v>5557</v>
      </c>
      <c r="C2066" s="6" t="s">
        <v>12</v>
      </c>
      <c r="D2066" s="6" t="s">
        <v>5505</v>
      </c>
      <c r="E2066" s="6" t="s">
        <v>5506</v>
      </c>
      <c r="F2066" s="6" t="s">
        <v>5558</v>
      </c>
      <c r="G2066" s="6" t="s">
        <v>16</v>
      </c>
      <c r="H2066" s="5">
        <v>1</v>
      </c>
      <c r="I2066" s="6" t="s">
        <v>5558</v>
      </c>
      <c r="J2066" s="5">
        <v>480</v>
      </c>
    </row>
    <row r="2067" s="2" customFormat="1" spans="1:10">
      <c r="A2067" s="6">
        <f>2065</f>
        <v>2065</v>
      </c>
      <c r="B2067" s="6" t="s">
        <v>5559</v>
      </c>
      <c r="C2067" s="6" t="s">
        <v>12</v>
      </c>
      <c r="D2067" s="6" t="s">
        <v>5505</v>
      </c>
      <c r="E2067" s="6" t="s">
        <v>5506</v>
      </c>
      <c r="F2067" s="6" t="s">
        <v>5560</v>
      </c>
      <c r="G2067" s="6" t="s">
        <v>16</v>
      </c>
      <c r="H2067" s="5">
        <v>3</v>
      </c>
      <c r="I2067" s="6" t="s">
        <v>5561</v>
      </c>
      <c r="J2067" s="5">
        <v>580</v>
      </c>
    </row>
    <row r="2068" s="2" customFormat="1" spans="1:10">
      <c r="A2068" s="6">
        <f>2066</f>
        <v>2066</v>
      </c>
      <c r="B2068" s="6" t="s">
        <v>5562</v>
      </c>
      <c r="C2068" s="6" t="s">
        <v>12</v>
      </c>
      <c r="D2068" s="6" t="s">
        <v>5505</v>
      </c>
      <c r="E2068" s="6" t="s">
        <v>5506</v>
      </c>
      <c r="F2068" s="6" t="s">
        <v>5563</v>
      </c>
      <c r="G2068" s="6" t="s">
        <v>16</v>
      </c>
      <c r="H2068" s="5">
        <v>1</v>
      </c>
      <c r="I2068" s="6" t="s">
        <v>5563</v>
      </c>
      <c r="J2068" s="5">
        <v>360</v>
      </c>
    </row>
    <row r="2069" s="2" customFormat="1" spans="1:10">
      <c r="A2069" s="6">
        <f>2067</f>
        <v>2067</v>
      </c>
      <c r="B2069" s="6" t="s">
        <v>5564</v>
      </c>
      <c r="C2069" s="6" t="s">
        <v>12</v>
      </c>
      <c r="D2069" s="6" t="s">
        <v>5505</v>
      </c>
      <c r="E2069" s="6" t="s">
        <v>5506</v>
      </c>
      <c r="F2069" s="6" t="s">
        <v>5565</v>
      </c>
      <c r="G2069" s="6" t="s">
        <v>16</v>
      </c>
      <c r="H2069" s="5">
        <v>3</v>
      </c>
      <c r="I2069" s="6" t="s">
        <v>5566</v>
      </c>
      <c r="J2069" s="5">
        <v>1080</v>
      </c>
    </row>
    <row r="2070" s="2" customFormat="1" spans="1:10">
      <c r="A2070" s="6">
        <f>2068</f>
        <v>2068</v>
      </c>
      <c r="B2070" s="6" t="s">
        <v>5567</v>
      </c>
      <c r="C2070" s="6" t="s">
        <v>12</v>
      </c>
      <c r="D2070" s="6" t="s">
        <v>5505</v>
      </c>
      <c r="E2070" s="6" t="s">
        <v>5506</v>
      </c>
      <c r="F2070" s="6" t="s">
        <v>5568</v>
      </c>
      <c r="G2070" s="6" t="s">
        <v>16</v>
      </c>
      <c r="H2070" s="5">
        <v>1</v>
      </c>
      <c r="I2070" s="6" t="s">
        <v>5568</v>
      </c>
      <c r="J2070" s="5">
        <v>283</v>
      </c>
    </row>
    <row r="2071" s="2" customFormat="1" spans="1:10">
      <c r="A2071" s="6">
        <f>2069</f>
        <v>2069</v>
      </c>
      <c r="B2071" s="6" t="s">
        <v>5569</v>
      </c>
      <c r="C2071" s="6" t="s">
        <v>12</v>
      </c>
      <c r="D2071" s="6" t="s">
        <v>5505</v>
      </c>
      <c r="E2071" s="6" t="s">
        <v>5506</v>
      </c>
      <c r="F2071" s="6" t="s">
        <v>5570</v>
      </c>
      <c r="G2071" s="6" t="s">
        <v>16</v>
      </c>
      <c r="H2071" s="5">
        <v>3</v>
      </c>
      <c r="I2071" s="6" t="s">
        <v>5571</v>
      </c>
      <c r="J2071" s="5">
        <v>1026</v>
      </c>
    </row>
    <row r="2072" s="2" customFormat="1" spans="1:10">
      <c r="A2072" s="6">
        <f>2070</f>
        <v>2070</v>
      </c>
      <c r="B2072" s="6" t="s">
        <v>5572</v>
      </c>
      <c r="C2072" s="6" t="s">
        <v>12</v>
      </c>
      <c r="D2072" s="6" t="s">
        <v>5505</v>
      </c>
      <c r="E2072" s="6" t="s">
        <v>5506</v>
      </c>
      <c r="F2072" s="6" t="s">
        <v>5573</v>
      </c>
      <c r="G2072" s="6" t="s">
        <v>16</v>
      </c>
      <c r="H2072" s="5">
        <v>1</v>
      </c>
      <c r="I2072" s="6" t="s">
        <v>5573</v>
      </c>
      <c r="J2072" s="5">
        <v>238</v>
      </c>
    </row>
    <row r="2073" s="2" customFormat="1" spans="1:10">
      <c r="A2073" s="6">
        <f>2071</f>
        <v>2071</v>
      </c>
      <c r="B2073" s="6" t="s">
        <v>5574</v>
      </c>
      <c r="C2073" s="6" t="s">
        <v>12</v>
      </c>
      <c r="D2073" s="6" t="s">
        <v>5505</v>
      </c>
      <c r="E2073" s="6" t="s">
        <v>5506</v>
      </c>
      <c r="F2073" s="6" t="s">
        <v>5575</v>
      </c>
      <c r="G2073" s="6" t="s">
        <v>16</v>
      </c>
      <c r="H2073" s="5">
        <v>1</v>
      </c>
      <c r="I2073" s="6" t="s">
        <v>5575</v>
      </c>
      <c r="J2073" s="5">
        <v>400</v>
      </c>
    </row>
    <row r="2074" s="2" customFormat="1" spans="1:10">
      <c r="A2074" s="6">
        <f>2072</f>
        <v>2072</v>
      </c>
      <c r="B2074" s="6" t="s">
        <v>5576</v>
      </c>
      <c r="C2074" s="6" t="s">
        <v>12</v>
      </c>
      <c r="D2074" s="6" t="s">
        <v>5505</v>
      </c>
      <c r="E2074" s="6" t="s">
        <v>5506</v>
      </c>
      <c r="F2074" s="6" t="s">
        <v>5577</v>
      </c>
      <c r="G2074" s="6" t="s">
        <v>16</v>
      </c>
      <c r="H2074" s="5">
        <v>1</v>
      </c>
      <c r="I2074" s="6" t="s">
        <v>5577</v>
      </c>
      <c r="J2074" s="5">
        <v>265</v>
      </c>
    </row>
    <row r="2075" s="2" customFormat="1" spans="1:10">
      <c r="A2075" s="6">
        <f>2073</f>
        <v>2073</v>
      </c>
      <c r="B2075" s="6" t="s">
        <v>5578</v>
      </c>
      <c r="C2075" s="6" t="s">
        <v>12</v>
      </c>
      <c r="D2075" s="6" t="s">
        <v>5505</v>
      </c>
      <c r="E2075" s="6" t="s">
        <v>5506</v>
      </c>
      <c r="F2075" s="6" t="s">
        <v>5579</v>
      </c>
      <c r="G2075" s="6" t="s">
        <v>16</v>
      </c>
      <c r="H2075" s="5">
        <v>2</v>
      </c>
      <c r="I2075" s="6" t="s">
        <v>5580</v>
      </c>
      <c r="J2075" s="5">
        <v>720</v>
      </c>
    </row>
    <row r="2076" s="2" customFormat="1" spans="1:10">
      <c r="A2076" s="6">
        <f>2074</f>
        <v>2074</v>
      </c>
      <c r="B2076" s="6" t="s">
        <v>5581</v>
      </c>
      <c r="C2076" s="6" t="s">
        <v>12</v>
      </c>
      <c r="D2076" s="6" t="s">
        <v>5505</v>
      </c>
      <c r="E2076" s="6" t="s">
        <v>5506</v>
      </c>
      <c r="F2076" s="6" t="s">
        <v>5582</v>
      </c>
      <c r="G2076" s="6" t="s">
        <v>16</v>
      </c>
      <c r="H2076" s="5">
        <v>1</v>
      </c>
      <c r="I2076" s="6" t="s">
        <v>5582</v>
      </c>
      <c r="J2076" s="5">
        <v>280</v>
      </c>
    </row>
    <row r="2077" s="2" customFormat="1" spans="1:10">
      <c r="A2077" s="6">
        <f>2075</f>
        <v>2075</v>
      </c>
      <c r="B2077" s="6" t="s">
        <v>5583</v>
      </c>
      <c r="C2077" s="6" t="s">
        <v>12</v>
      </c>
      <c r="D2077" s="6" t="s">
        <v>5505</v>
      </c>
      <c r="E2077" s="6" t="s">
        <v>5506</v>
      </c>
      <c r="F2077" s="6" t="s">
        <v>5584</v>
      </c>
      <c r="G2077" s="6" t="s">
        <v>16</v>
      </c>
      <c r="H2077" s="5">
        <v>1</v>
      </c>
      <c r="I2077" s="6" t="s">
        <v>5584</v>
      </c>
      <c r="J2077" s="5">
        <v>440</v>
      </c>
    </row>
    <row r="2078" s="2" customFormat="1" spans="1:10">
      <c r="A2078" s="6">
        <f>2076</f>
        <v>2076</v>
      </c>
      <c r="B2078" s="6" t="s">
        <v>5585</v>
      </c>
      <c r="C2078" s="6" t="s">
        <v>12</v>
      </c>
      <c r="D2078" s="6" t="s">
        <v>5505</v>
      </c>
      <c r="E2078" s="6" t="s">
        <v>5506</v>
      </c>
      <c r="F2078" s="6" t="s">
        <v>5586</v>
      </c>
      <c r="G2078" s="6" t="s">
        <v>16</v>
      </c>
      <c r="H2078" s="5">
        <v>2</v>
      </c>
      <c r="I2078" s="6" t="s">
        <v>5587</v>
      </c>
      <c r="J2078" s="5">
        <v>520</v>
      </c>
    </row>
    <row r="2079" s="2" customFormat="1" spans="1:10">
      <c r="A2079" s="6">
        <f>2077</f>
        <v>2077</v>
      </c>
      <c r="B2079" s="6" t="s">
        <v>5588</v>
      </c>
      <c r="C2079" s="6" t="s">
        <v>12</v>
      </c>
      <c r="D2079" s="6" t="s">
        <v>5505</v>
      </c>
      <c r="E2079" s="6" t="s">
        <v>5506</v>
      </c>
      <c r="F2079" s="6" t="s">
        <v>5589</v>
      </c>
      <c r="G2079" s="6" t="s">
        <v>16</v>
      </c>
      <c r="H2079" s="5">
        <v>1</v>
      </c>
      <c r="I2079" s="6" t="s">
        <v>5589</v>
      </c>
      <c r="J2079" s="5">
        <v>265</v>
      </c>
    </row>
    <row r="2080" s="2" customFormat="1" spans="1:10">
      <c r="A2080" s="6">
        <f>2078</f>
        <v>2078</v>
      </c>
      <c r="B2080" s="6" t="s">
        <v>5590</v>
      </c>
      <c r="C2080" s="6" t="s">
        <v>12</v>
      </c>
      <c r="D2080" s="6" t="s">
        <v>5505</v>
      </c>
      <c r="E2080" s="6" t="s">
        <v>5506</v>
      </c>
      <c r="F2080" s="6" t="s">
        <v>5591</v>
      </c>
      <c r="G2080" s="6" t="s">
        <v>16</v>
      </c>
      <c r="H2080" s="5">
        <v>1</v>
      </c>
      <c r="I2080" s="6" t="s">
        <v>5591</v>
      </c>
      <c r="J2080" s="5">
        <v>265</v>
      </c>
    </row>
    <row r="2081" s="2" customFormat="1" spans="1:10">
      <c r="A2081" s="6">
        <f>2079</f>
        <v>2079</v>
      </c>
      <c r="B2081" s="6" t="s">
        <v>5592</v>
      </c>
      <c r="C2081" s="6" t="s">
        <v>12</v>
      </c>
      <c r="D2081" s="6" t="s">
        <v>5505</v>
      </c>
      <c r="E2081" s="6" t="s">
        <v>5506</v>
      </c>
      <c r="F2081" s="6" t="s">
        <v>5593</v>
      </c>
      <c r="G2081" s="6" t="s">
        <v>16</v>
      </c>
      <c r="H2081" s="5">
        <v>1</v>
      </c>
      <c r="I2081" s="6" t="s">
        <v>5593</v>
      </c>
      <c r="J2081" s="5">
        <v>480</v>
      </c>
    </row>
    <row r="2082" s="2" customFormat="1" spans="1:10">
      <c r="A2082" s="6">
        <f>2080</f>
        <v>2080</v>
      </c>
      <c r="B2082" s="6" t="s">
        <v>5594</v>
      </c>
      <c r="C2082" s="6" t="s">
        <v>12</v>
      </c>
      <c r="D2082" s="6" t="s">
        <v>5505</v>
      </c>
      <c r="E2082" s="6" t="s">
        <v>5506</v>
      </c>
      <c r="F2082" s="6" t="s">
        <v>5595</v>
      </c>
      <c r="G2082" s="6" t="s">
        <v>16</v>
      </c>
      <c r="H2082" s="5">
        <v>1</v>
      </c>
      <c r="I2082" s="6" t="s">
        <v>5595</v>
      </c>
      <c r="J2082" s="5">
        <v>238</v>
      </c>
    </row>
    <row r="2083" s="2" customFormat="1" spans="1:10">
      <c r="A2083" s="6">
        <f>2081</f>
        <v>2081</v>
      </c>
      <c r="B2083" s="6" t="s">
        <v>5596</v>
      </c>
      <c r="C2083" s="6" t="s">
        <v>12</v>
      </c>
      <c r="D2083" s="6" t="s">
        <v>5505</v>
      </c>
      <c r="E2083" s="6" t="s">
        <v>5506</v>
      </c>
      <c r="F2083" s="6" t="s">
        <v>5597</v>
      </c>
      <c r="G2083" s="6" t="s">
        <v>16</v>
      </c>
      <c r="H2083" s="5">
        <v>1</v>
      </c>
      <c r="I2083" s="6" t="s">
        <v>5597</v>
      </c>
      <c r="J2083" s="5">
        <v>480</v>
      </c>
    </row>
    <row r="2084" s="2" customFormat="1" spans="1:10">
      <c r="A2084" s="6">
        <f>2082</f>
        <v>2082</v>
      </c>
      <c r="B2084" s="6" t="s">
        <v>5598</v>
      </c>
      <c r="C2084" s="6" t="s">
        <v>12</v>
      </c>
      <c r="D2084" s="6" t="s">
        <v>5505</v>
      </c>
      <c r="E2084" s="6" t="s">
        <v>5506</v>
      </c>
      <c r="F2084" s="6" t="s">
        <v>5599</v>
      </c>
      <c r="G2084" s="6" t="s">
        <v>16</v>
      </c>
      <c r="H2084" s="5">
        <v>1</v>
      </c>
      <c r="I2084" s="6" t="s">
        <v>5599</v>
      </c>
      <c r="J2084" s="5">
        <v>320</v>
      </c>
    </row>
    <row r="2085" s="2" customFormat="1" spans="1:10">
      <c r="A2085" s="6">
        <f>2083</f>
        <v>2083</v>
      </c>
      <c r="B2085" s="6" t="s">
        <v>5600</v>
      </c>
      <c r="C2085" s="6" t="s">
        <v>12</v>
      </c>
      <c r="D2085" s="6" t="s">
        <v>5505</v>
      </c>
      <c r="E2085" s="6" t="s">
        <v>5506</v>
      </c>
      <c r="F2085" s="6" t="s">
        <v>2957</v>
      </c>
      <c r="G2085" s="6" t="s">
        <v>16</v>
      </c>
      <c r="H2085" s="5">
        <v>1</v>
      </c>
      <c r="I2085" s="6" t="s">
        <v>2957</v>
      </c>
      <c r="J2085" s="5">
        <v>393</v>
      </c>
    </row>
    <row r="2086" s="2" customFormat="1" ht="27" spans="1:10">
      <c r="A2086" s="6">
        <f>2084</f>
        <v>2084</v>
      </c>
      <c r="B2086" s="6" t="s">
        <v>5601</v>
      </c>
      <c r="C2086" s="6" t="s">
        <v>12</v>
      </c>
      <c r="D2086" s="6" t="s">
        <v>5505</v>
      </c>
      <c r="E2086" s="6" t="s">
        <v>5602</v>
      </c>
      <c r="F2086" s="6" t="s">
        <v>5603</v>
      </c>
      <c r="G2086" s="6" t="s">
        <v>16</v>
      </c>
      <c r="H2086" s="5">
        <v>5</v>
      </c>
      <c r="I2086" s="6" t="s">
        <v>5604</v>
      </c>
      <c r="J2086" s="5">
        <v>1200</v>
      </c>
    </row>
    <row r="2087" s="2" customFormat="1" spans="1:10">
      <c r="A2087" s="6">
        <f>2085</f>
        <v>2085</v>
      </c>
      <c r="B2087" s="6" t="s">
        <v>5605</v>
      </c>
      <c r="C2087" s="6" t="s">
        <v>12</v>
      </c>
      <c r="D2087" s="6" t="s">
        <v>5505</v>
      </c>
      <c r="E2087" s="6" t="s">
        <v>5602</v>
      </c>
      <c r="F2087" s="6" t="s">
        <v>5606</v>
      </c>
      <c r="G2087" s="6" t="s">
        <v>16</v>
      </c>
      <c r="H2087" s="5">
        <v>3</v>
      </c>
      <c r="I2087" s="6" t="s">
        <v>5607</v>
      </c>
      <c r="J2087" s="5">
        <v>630</v>
      </c>
    </row>
    <row r="2088" s="2" customFormat="1" spans="1:10">
      <c r="A2088" s="6">
        <f>2086</f>
        <v>2086</v>
      </c>
      <c r="B2088" s="6" t="s">
        <v>5608</v>
      </c>
      <c r="C2088" s="6" t="s">
        <v>12</v>
      </c>
      <c r="D2088" s="6" t="s">
        <v>5505</v>
      </c>
      <c r="E2088" s="6" t="s">
        <v>5602</v>
      </c>
      <c r="F2088" s="6" t="s">
        <v>5609</v>
      </c>
      <c r="G2088" s="6" t="s">
        <v>16</v>
      </c>
      <c r="H2088" s="5">
        <v>3</v>
      </c>
      <c r="I2088" s="6" t="s">
        <v>5610</v>
      </c>
      <c r="J2088" s="5">
        <v>540</v>
      </c>
    </row>
    <row r="2089" s="2" customFormat="1" spans="1:10">
      <c r="A2089" s="6">
        <f>2087</f>
        <v>2087</v>
      </c>
      <c r="B2089" s="6" t="s">
        <v>5611</v>
      </c>
      <c r="C2089" s="6" t="s">
        <v>12</v>
      </c>
      <c r="D2089" s="6" t="s">
        <v>5505</v>
      </c>
      <c r="E2089" s="6" t="s">
        <v>5602</v>
      </c>
      <c r="F2089" s="6" t="s">
        <v>5612</v>
      </c>
      <c r="G2089" s="6" t="s">
        <v>16</v>
      </c>
      <c r="H2089" s="5">
        <v>3</v>
      </c>
      <c r="I2089" s="6" t="s">
        <v>5613</v>
      </c>
      <c r="J2089" s="5">
        <v>1380</v>
      </c>
    </row>
    <row r="2090" s="2" customFormat="1" spans="1:10">
      <c r="A2090" s="6">
        <f>2088</f>
        <v>2088</v>
      </c>
      <c r="B2090" s="6" t="s">
        <v>5614</v>
      </c>
      <c r="C2090" s="6" t="s">
        <v>12</v>
      </c>
      <c r="D2090" s="6" t="s">
        <v>5505</v>
      </c>
      <c r="E2090" s="6" t="s">
        <v>5602</v>
      </c>
      <c r="F2090" s="6" t="s">
        <v>5615</v>
      </c>
      <c r="G2090" s="6" t="s">
        <v>16</v>
      </c>
      <c r="H2090" s="5">
        <v>1</v>
      </c>
      <c r="I2090" s="6" t="s">
        <v>5615</v>
      </c>
      <c r="J2090" s="5">
        <v>510</v>
      </c>
    </row>
    <row r="2091" s="2" customFormat="1" spans="1:10">
      <c r="A2091" s="6">
        <f>2089</f>
        <v>2089</v>
      </c>
      <c r="B2091" s="6" t="s">
        <v>5616</v>
      </c>
      <c r="C2091" s="6" t="s">
        <v>12</v>
      </c>
      <c r="D2091" s="6" t="s">
        <v>5505</v>
      </c>
      <c r="E2091" s="6" t="s">
        <v>5602</v>
      </c>
      <c r="F2091" s="6" t="s">
        <v>5617</v>
      </c>
      <c r="G2091" s="6" t="s">
        <v>16</v>
      </c>
      <c r="H2091" s="5">
        <v>3</v>
      </c>
      <c r="I2091" s="6" t="s">
        <v>5618</v>
      </c>
      <c r="J2091" s="5">
        <v>680</v>
      </c>
    </row>
    <row r="2092" s="2" customFormat="1" spans="1:10">
      <c r="A2092" s="6">
        <f>2090</f>
        <v>2090</v>
      </c>
      <c r="B2092" s="6" t="s">
        <v>5619</v>
      </c>
      <c r="C2092" s="6" t="s">
        <v>12</v>
      </c>
      <c r="D2092" s="6" t="s">
        <v>5505</v>
      </c>
      <c r="E2092" s="6" t="s">
        <v>5602</v>
      </c>
      <c r="F2092" s="6" t="s">
        <v>5620</v>
      </c>
      <c r="G2092" s="6" t="s">
        <v>16</v>
      </c>
      <c r="H2092" s="5">
        <v>1</v>
      </c>
      <c r="I2092" s="6" t="s">
        <v>5620</v>
      </c>
      <c r="J2092" s="5">
        <v>260</v>
      </c>
    </row>
    <row r="2093" s="2" customFormat="1" ht="27" spans="1:10">
      <c r="A2093" s="6">
        <f>2091</f>
        <v>2091</v>
      </c>
      <c r="B2093" s="6" t="s">
        <v>5621</v>
      </c>
      <c r="C2093" s="6" t="s">
        <v>12</v>
      </c>
      <c r="D2093" s="6" t="s">
        <v>5505</v>
      </c>
      <c r="E2093" s="6" t="s">
        <v>5602</v>
      </c>
      <c r="F2093" s="6" t="s">
        <v>5622</v>
      </c>
      <c r="G2093" s="6" t="s">
        <v>16</v>
      </c>
      <c r="H2093" s="5">
        <v>5</v>
      </c>
      <c r="I2093" s="6" t="s">
        <v>5623</v>
      </c>
      <c r="J2093" s="5">
        <v>1800</v>
      </c>
    </row>
    <row r="2094" s="2" customFormat="1" spans="1:10">
      <c r="A2094" s="6">
        <f>2092</f>
        <v>2092</v>
      </c>
      <c r="B2094" s="6" t="s">
        <v>5624</v>
      </c>
      <c r="C2094" s="6" t="s">
        <v>12</v>
      </c>
      <c r="D2094" s="6" t="s">
        <v>5505</v>
      </c>
      <c r="E2094" s="6" t="s">
        <v>5602</v>
      </c>
      <c r="F2094" s="6" t="s">
        <v>5625</v>
      </c>
      <c r="G2094" s="6" t="s">
        <v>16</v>
      </c>
      <c r="H2094" s="5">
        <v>3</v>
      </c>
      <c r="I2094" s="6" t="s">
        <v>5626</v>
      </c>
      <c r="J2094" s="5">
        <v>1320</v>
      </c>
    </row>
    <row r="2095" s="2" customFormat="1" spans="1:10">
      <c r="A2095" s="6">
        <f>2093</f>
        <v>2093</v>
      </c>
      <c r="B2095" s="6" t="s">
        <v>5627</v>
      </c>
      <c r="C2095" s="6" t="s">
        <v>12</v>
      </c>
      <c r="D2095" s="6" t="s">
        <v>5505</v>
      </c>
      <c r="E2095" s="6" t="s">
        <v>5602</v>
      </c>
      <c r="F2095" s="6" t="s">
        <v>5628</v>
      </c>
      <c r="G2095" s="6" t="s">
        <v>16</v>
      </c>
      <c r="H2095" s="5">
        <v>1</v>
      </c>
      <c r="I2095" s="6" t="s">
        <v>5628</v>
      </c>
      <c r="J2095" s="5">
        <v>460</v>
      </c>
    </row>
    <row r="2096" s="2" customFormat="1" ht="27" spans="1:10">
      <c r="A2096" s="6">
        <f>2094</f>
        <v>2094</v>
      </c>
      <c r="B2096" s="6" t="s">
        <v>5629</v>
      </c>
      <c r="C2096" s="6" t="s">
        <v>12</v>
      </c>
      <c r="D2096" s="6" t="s">
        <v>5505</v>
      </c>
      <c r="E2096" s="6" t="s">
        <v>5602</v>
      </c>
      <c r="F2096" s="6" t="s">
        <v>5630</v>
      </c>
      <c r="G2096" s="6" t="s">
        <v>16</v>
      </c>
      <c r="H2096" s="5">
        <v>4</v>
      </c>
      <c r="I2096" s="6" t="s">
        <v>5631</v>
      </c>
      <c r="J2096" s="5">
        <v>840</v>
      </c>
    </row>
    <row r="2097" s="2" customFormat="1" spans="1:10">
      <c r="A2097" s="6">
        <f>2095</f>
        <v>2095</v>
      </c>
      <c r="B2097" s="6" t="s">
        <v>5632</v>
      </c>
      <c r="C2097" s="6" t="s">
        <v>12</v>
      </c>
      <c r="D2097" s="6" t="s">
        <v>5505</v>
      </c>
      <c r="E2097" s="6" t="s">
        <v>5602</v>
      </c>
      <c r="F2097" s="6" t="s">
        <v>5633</v>
      </c>
      <c r="G2097" s="6" t="s">
        <v>16</v>
      </c>
      <c r="H2097" s="5">
        <v>2</v>
      </c>
      <c r="I2097" s="6" t="s">
        <v>5634</v>
      </c>
      <c r="J2097" s="5">
        <v>598</v>
      </c>
    </row>
    <row r="2098" s="2" customFormat="1" spans="1:10">
      <c r="A2098" s="6">
        <f>2096</f>
        <v>2096</v>
      </c>
      <c r="B2098" s="6" t="s">
        <v>5635</v>
      </c>
      <c r="C2098" s="6" t="s">
        <v>12</v>
      </c>
      <c r="D2098" s="6" t="s">
        <v>5505</v>
      </c>
      <c r="E2098" s="6" t="s">
        <v>5602</v>
      </c>
      <c r="F2098" s="6" t="s">
        <v>5636</v>
      </c>
      <c r="G2098" s="6" t="s">
        <v>16</v>
      </c>
      <c r="H2098" s="5">
        <v>2</v>
      </c>
      <c r="I2098" s="6" t="s">
        <v>5637</v>
      </c>
      <c r="J2098" s="5">
        <v>601</v>
      </c>
    </row>
    <row r="2099" s="2" customFormat="1" spans="1:10">
      <c r="A2099" s="6">
        <f>2097</f>
        <v>2097</v>
      </c>
      <c r="B2099" s="6" t="s">
        <v>5638</v>
      </c>
      <c r="C2099" s="6" t="s">
        <v>12</v>
      </c>
      <c r="D2099" s="6" t="s">
        <v>5505</v>
      </c>
      <c r="E2099" s="6" t="s">
        <v>5602</v>
      </c>
      <c r="F2099" s="6" t="s">
        <v>5639</v>
      </c>
      <c r="G2099" s="6" t="s">
        <v>16</v>
      </c>
      <c r="H2099" s="5">
        <v>3</v>
      </c>
      <c r="I2099" s="6" t="s">
        <v>5640</v>
      </c>
      <c r="J2099" s="5">
        <v>670</v>
      </c>
    </row>
    <row r="2100" s="2" customFormat="1" ht="27" spans="1:10">
      <c r="A2100" s="6">
        <f>2098</f>
        <v>2098</v>
      </c>
      <c r="B2100" s="6" t="s">
        <v>5641</v>
      </c>
      <c r="C2100" s="6" t="s">
        <v>12</v>
      </c>
      <c r="D2100" s="6" t="s">
        <v>5505</v>
      </c>
      <c r="E2100" s="6" t="s">
        <v>5602</v>
      </c>
      <c r="F2100" s="6" t="s">
        <v>5642</v>
      </c>
      <c r="G2100" s="6" t="s">
        <v>16</v>
      </c>
      <c r="H2100" s="5">
        <v>6</v>
      </c>
      <c r="I2100" s="6" t="s">
        <v>5643</v>
      </c>
      <c r="J2100" s="5">
        <v>2160</v>
      </c>
    </row>
    <row r="2101" s="2" customFormat="1" spans="1:10">
      <c r="A2101" s="6">
        <f>2099</f>
        <v>2099</v>
      </c>
      <c r="B2101" s="6" t="s">
        <v>5644</v>
      </c>
      <c r="C2101" s="6" t="s">
        <v>12</v>
      </c>
      <c r="D2101" s="6" t="s">
        <v>5505</v>
      </c>
      <c r="E2101" s="6" t="s">
        <v>5602</v>
      </c>
      <c r="F2101" s="6" t="s">
        <v>5645</v>
      </c>
      <c r="G2101" s="6" t="s">
        <v>16</v>
      </c>
      <c r="H2101" s="5">
        <v>1</v>
      </c>
      <c r="I2101" s="6" t="s">
        <v>5645</v>
      </c>
      <c r="J2101" s="5">
        <v>440</v>
      </c>
    </row>
    <row r="2102" s="2" customFormat="1" ht="27" spans="1:10">
      <c r="A2102" s="6">
        <f>2100</f>
        <v>2100</v>
      </c>
      <c r="B2102" s="6" t="s">
        <v>5646</v>
      </c>
      <c r="C2102" s="6" t="s">
        <v>12</v>
      </c>
      <c r="D2102" s="6" t="s">
        <v>5505</v>
      </c>
      <c r="E2102" s="6" t="s">
        <v>5602</v>
      </c>
      <c r="F2102" s="6" t="s">
        <v>5647</v>
      </c>
      <c r="G2102" s="6" t="s">
        <v>16</v>
      </c>
      <c r="H2102" s="5">
        <v>4</v>
      </c>
      <c r="I2102" s="6" t="s">
        <v>5648</v>
      </c>
      <c r="J2102" s="5">
        <v>916</v>
      </c>
    </row>
    <row r="2103" s="2" customFormat="1" spans="1:10">
      <c r="A2103" s="6">
        <f>2101</f>
        <v>2101</v>
      </c>
      <c r="B2103" s="6" t="s">
        <v>5649</v>
      </c>
      <c r="C2103" s="6" t="s">
        <v>12</v>
      </c>
      <c r="D2103" s="6" t="s">
        <v>5505</v>
      </c>
      <c r="E2103" s="6" t="s">
        <v>5602</v>
      </c>
      <c r="F2103" s="6" t="s">
        <v>5650</v>
      </c>
      <c r="G2103" s="6" t="s">
        <v>16</v>
      </c>
      <c r="H2103" s="5">
        <v>1</v>
      </c>
      <c r="I2103" s="6" t="s">
        <v>5650</v>
      </c>
      <c r="J2103" s="5">
        <v>295</v>
      </c>
    </row>
    <row r="2104" s="2" customFormat="1" spans="1:10">
      <c r="A2104" s="6">
        <f>2102</f>
        <v>2102</v>
      </c>
      <c r="B2104" s="6" t="s">
        <v>5651</v>
      </c>
      <c r="C2104" s="6" t="s">
        <v>12</v>
      </c>
      <c r="D2104" s="6" t="s">
        <v>5505</v>
      </c>
      <c r="E2104" s="6" t="s">
        <v>5602</v>
      </c>
      <c r="F2104" s="6" t="s">
        <v>5652</v>
      </c>
      <c r="G2104" s="6" t="s">
        <v>16</v>
      </c>
      <c r="H2104" s="5">
        <v>2</v>
      </c>
      <c r="I2104" s="6" t="s">
        <v>5653</v>
      </c>
      <c r="J2104" s="5">
        <v>380</v>
      </c>
    </row>
    <row r="2105" s="2" customFormat="1" spans="1:10">
      <c r="A2105" s="6">
        <f>2103</f>
        <v>2103</v>
      </c>
      <c r="B2105" s="6" t="s">
        <v>5654</v>
      </c>
      <c r="C2105" s="6" t="s">
        <v>12</v>
      </c>
      <c r="D2105" s="6" t="s">
        <v>5505</v>
      </c>
      <c r="E2105" s="6" t="s">
        <v>5602</v>
      </c>
      <c r="F2105" s="6" t="s">
        <v>5655</v>
      </c>
      <c r="G2105" s="6" t="s">
        <v>16</v>
      </c>
      <c r="H2105" s="5">
        <v>1</v>
      </c>
      <c r="I2105" s="6" t="s">
        <v>5655</v>
      </c>
      <c r="J2105" s="5">
        <v>233</v>
      </c>
    </row>
    <row r="2106" s="2" customFormat="1" spans="1:10">
      <c r="A2106" s="6">
        <f>2104</f>
        <v>2104</v>
      </c>
      <c r="B2106" s="6" t="s">
        <v>5656</v>
      </c>
      <c r="C2106" s="6" t="s">
        <v>12</v>
      </c>
      <c r="D2106" s="6" t="s">
        <v>5505</v>
      </c>
      <c r="E2106" s="6" t="s">
        <v>5602</v>
      </c>
      <c r="F2106" s="6" t="s">
        <v>5657</v>
      </c>
      <c r="G2106" s="6" t="s">
        <v>16</v>
      </c>
      <c r="H2106" s="5">
        <v>2</v>
      </c>
      <c r="I2106" s="6" t="s">
        <v>5658</v>
      </c>
      <c r="J2106" s="5">
        <v>500</v>
      </c>
    </row>
    <row r="2107" s="2" customFormat="1" ht="27" spans="1:10">
      <c r="A2107" s="6">
        <f>2105</f>
        <v>2105</v>
      </c>
      <c r="B2107" s="6" t="s">
        <v>5659</v>
      </c>
      <c r="C2107" s="6" t="s">
        <v>12</v>
      </c>
      <c r="D2107" s="6" t="s">
        <v>5505</v>
      </c>
      <c r="E2107" s="6" t="s">
        <v>5602</v>
      </c>
      <c r="F2107" s="6" t="s">
        <v>5660</v>
      </c>
      <c r="G2107" s="6" t="s">
        <v>16</v>
      </c>
      <c r="H2107" s="5">
        <v>4</v>
      </c>
      <c r="I2107" s="6" t="s">
        <v>5661</v>
      </c>
      <c r="J2107" s="5">
        <v>1040</v>
      </c>
    </row>
    <row r="2108" s="2" customFormat="1" spans="1:10">
      <c r="A2108" s="6">
        <f>2106</f>
        <v>2106</v>
      </c>
      <c r="B2108" s="6" t="s">
        <v>5662</v>
      </c>
      <c r="C2108" s="6" t="s">
        <v>12</v>
      </c>
      <c r="D2108" s="6" t="s">
        <v>5505</v>
      </c>
      <c r="E2108" s="6" t="s">
        <v>5602</v>
      </c>
      <c r="F2108" s="6" t="s">
        <v>5663</v>
      </c>
      <c r="G2108" s="6" t="s">
        <v>16</v>
      </c>
      <c r="H2108" s="5">
        <v>2</v>
      </c>
      <c r="I2108" s="6" t="s">
        <v>5664</v>
      </c>
      <c r="J2108" s="5">
        <v>480</v>
      </c>
    </row>
    <row r="2109" s="2" customFormat="1" spans="1:10">
      <c r="A2109" s="6">
        <f>2107</f>
        <v>2107</v>
      </c>
      <c r="B2109" s="6" t="s">
        <v>5665</v>
      </c>
      <c r="C2109" s="6" t="s">
        <v>12</v>
      </c>
      <c r="D2109" s="6" t="s">
        <v>5505</v>
      </c>
      <c r="E2109" s="6" t="s">
        <v>5602</v>
      </c>
      <c r="F2109" s="6" t="s">
        <v>5666</v>
      </c>
      <c r="G2109" s="6" t="s">
        <v>16</v>
      </c>
      <c r="H2109" s="5">
        <v>3</v>
      </c>
      <c r="I2109" s="6" t="s">
        <v>5667</v>
      </c>
      <c r="J2109" s="5">
        <v>860</v>
      </c>
    </row>
    <row r="2110" s="2" customFormat="1" spans="1:10">
      <c r="A2110" s="6">
        <f>2108</f>
        <v>2108</v>
      </c>
      <c r="B2110" s="6" t="s">
        <v>5668</v>
      </c>
      <c r="C2110" s="6" t="s">
        <v>12</v>
      </c>
      <c r="D2110" s="6" t="s">
        <v>5505</v>
      </c>
      <c r="E2110" s="6" t="s">
        <v>5602</v>
      </c>
      <c r="F2110" s="6" t="s">
        <v>5669</v>
      </c>
      <c r="G2110" s="6" t="s">
        <v>16</v>
      </c>
      <c r="H2110" s="5">
        <v>1</v>
      </c>
      <c r="I2110" s="6" t="s">
        <v>5669</v>
      </c>
      <c r="J2110" s="5">
        <v>260</v>
      </c>
    </row>
    <row r="2111" s="2" customFormat="1" spans="1:10">
      <c r="A2111" s="6">
        <f>2109</f>
        <v>2109</v>
      </c>
      <c r="B2111" s="6" t="s">
        <v>5670</v>
      </c>
      <c r="C2111" s="6" t="s">
        <v>12</v>
      </c>
      <c r="D2111" s="6" t="s">
        <v>5505</v>
      </c>
      <c r="E2111" s="6" t="s">
        <v>5602</v>
      </c>
      <c r="F2111" s="6" t="s">
        <v>5671</v>
      </c>
      <c r="G2111" s="6" t="s">
        <v>16</v>
      </c>
      <c r="H2111" s="5">
        <v>1</v>
      </c>
      <c r="I2111" s="6" t="s">
        <v>5671</v>
      </c>
      <c r="J2111" s="5">
        <v>295</v>
      </c>
    </row>
    <row r="2112" s="2" customFormat="1" spans="1:10">
      <c r="A2112" s="6">
        <f>2110</f>
        <v>2110</v>
      </c>
      <c r="B2112" s="6" t="s">
        <v>5672</v>
      </c>
      <c r="C2112" s="6" t="s">
        <v>12</v>
      </c>
      <c r="D2112" s="6" t="s">
        <v>5505</v>
      </c>
      <c r="E2112" s="6" t="s">
        <v>5602</v>
      </c>
      <c r="F2112" s="6" t="s">
        <v>5673</v>
      </c>
      <c r="G2112" s="6" t="s">
        <v>16</v>
      </c>
      <c r="H2112" s="5">
        <v>3</v>
      </c>
      <c r="I2112" s="6" t="s">
        <v>5674</v>
      </c>
      <c r="J2112" s="5">
        <v>630</v>
      </c>
    </row>
    <row r="2113" s="2" customFormat="1" spans="1:10">
      <c r="A2113" s="6">
        <f>2111</f>
        <v>2111</v>
      </c>
      <c r="B2113" s="6" t="s">
        <v>5675</v>
      </c>
      <c r="C2113" s="6" t="s">
        <v>12</v>
      </c>
      <c r="D2113" s="6" t="s">
        <v>5505</v>
      </c>
      <c r="E2113" s="6" t="s">
        <v>5602</v>
      </c>
      <c r="F2113" s="6" t="s">
        <v>5676</v>
      </c>
      <c r="G2113" s="6" t="s">
        <v>16</v>
      </c>
      <c r="H2113" s="5">
        <v>2</v>
      </c>
      <c r="I2113" s="6" t="s">
        <v>5677</v>
      </c>
      <c r="J2113" s="5">
        <v>600</v>
      </c>
    </row>
    <row r="2114" s="2" customFormat="1" spans="1:10">
      <c r="A2114" s="6">
        <f>2112</f>
        <v>2112</v>
      </c>
      <c r="B2114" s="6" t="s">
        <v>5678</v>
      </c>
      <c r="C2114" s="6" t="s">
        <v>12</v>
      </c>
      <c r="D2114" s="6" t="s">
        <v>5505</v>
      </c>
      <c r="E2114" s="6" t="s">
        <v>5602</v>
      </c>
      <c r="F2114" s="6" t="s">
        <v>5679</v>
      </c>
      <c r="G2114" s="6" t="s">
        <v>16</v>
      </c>
      <c r="H2114" s="5">
        <v>2</v>
      </c>
      <c r="I2114" s="6" t="s">
        <v>5680</v>
      </c>
      <c r="J2114" s="5">
        <v>686</v>
      </c>
    </row>
    <row r="2115" s="2" customFormat="1" spans="1:10">
      <c r="A2115" s="6">
        <f>2113</f>
        <v>2113</v>
      </c>
      <c r="B2115" s="6" t="s">
        <v>5681</v>
      </c>
      <c r="C2115" s="6" t="s">
        <v>12</v>
      </c>
      <c r="D2115" s="6" t="s">
        <v>5505</v>
      </c>
      <c r="E2115" s="6" t="s">
        <v>5602</v>
      </c>
      <c r="F2115" s="6" t="s">
        <v>5682</v>
      </c>
      <c r="G2115" s="6" t="s">
        <v>16</v>
      </c>
      <c r="H2115" s="5">
        <v>3</v>
      </c>
      <c r="I2115" s="6" t="s">
        <v>5683</v>
      </c>
      <c r="J2115" s="5">
        <v>708</v>
      </c>
    </row>
    <row r="2116" s="2" customFormat="1" spans="1:10">
      <c r="A2116" s="6">
        <f>2114</f>
        <v>2114</v>
      </c>
      <c r="B2116" s="6" t="s">
        <v>5684</v>
      </c>
      <c r="C2116" s="6" t="s">
        <v>12</v>
      </c>
      <c r="D2116" s="6" t="s">
        <v>5505</v>
      </c>
      <c r="E2116" s="6" t="s">
        <v>5602</v>
      </c>
      <c r="F2116" s="6" t="s">
        <v>5685</v>
      </c>
      <c r="G2116" s="6" t="s">
        <v>16</v>
      </c>
      <c r="H2116" s="5">
        <v>2</v>
      </c>
      <c r="I2116" s="6" t="s">
        <v>5686</v>
      </c>
      <c r="J2116" s="5">
        <v>480</v>
      </c>
    </row>
    <row r="2117" s="2" customFormat="1" spans="1:10">
      <c r="A2117" s="6">
        <f>2115</f>
        <v>2115</v>
      </c>
      <c r="B2117" s="6" t="s">
        <v>5687</v>
      </c>
      <c r="C2117" s="6" t="s">
        <v>12</v>
      </c>
      <c r="D2117" s="6" t="s">
        <v>5505</v>
      </c>
      <c r="E2117" s="6" t="s">
        <v>5602</v>
      </c>
      <c r="F2117" s="6" t="s">
        <v>5688</v>
      </c>
      <c r="G2117" s="6" t="s">
        <v>16</v>
      </c>
      <c r="H2117" s="5">
        <v>1</v>
      </c>
      <c r="I2117" s="6" t="s">
        <v>5688</v>
      </c>
      <c r="J2117" s="5">
        <v>540</v>
      </c>
    </row>
    <row r="2118" s="2" customFormat="1" spans="1:10">
      <c r="A2118" s="6">
        <f>2116</f>
        <v>2116</v>
      </c>
      <c r="B2118" s="6" t="s">
        <v>5689</v>
      </c>
      <c r="C2118" s="6" t="s">
        <v>12</v>
      </c>
      <c r="D2118" s="6" t="s">
        <v>5505</v>
      </c>
      <c r="E2118" s="6" t="s">
        <v>5602</v>
      </c>
      <c r="F2118" s="6" t="s">
        <v>5690</v>
      </c>
      <c r="G2118" s="6" t="s">
        <v>16</v>
      </c>
      <c r="H2118" s="5">
        <v>2</v>
      </c>
      <c r="I2118" s="6" t="s">
        <v>5691</v>
      </c>
      <c r="J2118" s="5">
        <v>480</v>
      </c>
    </row>
    <row r="2119" s="2" customFormat="1" ht="27" spans="1:10">
      <c r="A2119" s="6">
        <f>2117</f>
        <v>2117</v>
      </c>
      <c r="B2119" s="6" t="s">
        <v>5692</v>
      </c>
      <c r="C2119" s="6" t="s">
        <v>12</v>
      </c>
      <c r="D2119" s="6" t="s">
        <v>5505</v>
      </c>
      <c r="E2119" s="6" t="s">
        <v>5602</v>
      </c>
      <c r="F2119" s="6" t="s">
        <v>5693</v>
      </c>
      <c r="G2119" s="6" t="s">
        <v>16</v>
      </c>
      <c r="H2119" s="5">
        <v>6</v>
      </c>
      <c r="I2119" s="6" t="s">
        <v>5694</v>
      </c>
      <c r="J2119" s="5">
        <v>728</v>
      </c>
    </row>
    <row r="2120" s="2" customFormat="1" spans="1:10">
      <c r="A2120" s="6">
        <f>2118</f>
        <v>2118</v>
      </c>
      <c r="B2120" s="6" t="s">
        <v>5695</v>
      </c>
      <c r="C2120" s="6" t="s">
        <v>12</v>
      </c>
      <c r="D2120" s="6" t="s">
        <v>5505</v>
      </c>
      <c r="E2120" s="6" t="s">
        <v>5602</v>
      </c>
      <c r="F2120" s="6" t="s">
        <v>5696</v>
      </c>
      <c r="G2120" s="6" t="s">
        <v>16</v>
      </c>
      <c r="H2120" s="5">
        <v>1</v>
      </c>
      <c r="I2120" s="6" t="s">
        <v>5696</v>
      </c>
      <c r="J2120" s="5">
        <v>240</v>
      </c>
    </row>
    <row r="2121" s="2" customFormat="1" spans="1:10">
      <c r="A2121" s="6">
        <f>2119</f>
        <v>2119</v>
      </c>
      <c r="B2121" s="6" t="s">
        <v>5697</v>
      </c>
      <c r="C2121" s="6" t="s">
        <v>12</v>
      </c>
      <c r="D2121" s="6" t="s">
        <v>5505</v>
      </c>
      <c r="E2121" s="6" t="s">
        <v>5602</v>
      </c>
      <c r="F2121" s="6" t="s">
        <v>5698</v>
      </c>
      <c r="G2121" s="6" t="s">
        <v>16</v>
      </c>
      <c r="H2121" s="5">
        <v>1</v>
      </c>
      <c r="I2121" s="6" t="s">
        <v>5698</v>
      </c>
      <c r="J2121" s="5">
        <v>560</v>
      </c>
    </row>
    <row r="2122" s="2" customFormat="1" ht="40.5" spans="1:10">
      <c r="A2122" s="6">
        <f>2120</f>
        <v>2120</v>
      </c>
      <c r="B2122" s="6" t="s">
        <v>5699</v>
      </c>
      <c r="C2122" s="6" t="s">
        <v>12</v>
      </c>
      <c r="D2122" s="6" t="s">
        <v>5505</v>
      </c>
      <c r="E2122" s="6" t="s">
        <v>5602</v>
      </c>
      <c r="F2122" s="6" t="s">
        <v>5700</v>
      </c>
      <c r="G2122" s="6" t="s">
        <v>16</v>
      </c>
      <c r="H2122" s="5">
        <v>7</v>
      </c>
      <c r="I2122" s="6" t="s">
        <v>5701</v>
      </c>
      <c r="J2122" s="5">
        <v>1920</v>
      </c>
    </row>
    <row r="2123" s="2" customFormat="1" spans="1:10">
      <c r="A2123" s="6">
        <f>2121</f>
        <v>2121</v>
      </c>
      <c r="B2123" s="6" t="s">
        <v>5702</v>
      </c>
      <c r="C2123" s="6" t="s">
        <v>12</v>
      </c>
      <c r="D2123" s="6" t="s">
        <v>5505</v>
      </c>
      <c r="E2123" s="6" t="s">
        <v>5602</v>
      </c>
      <c r="F2123" s="6" t="s">
        <v>5703</v>
      </c>
      <c r="G2123" s="6" t="s">
        <v>16</v>
      </c>
      <c r="H2123" s="5">
        <v>3</v>
      </c>
      <c r="I2123" s="6" t="s">
        <v>5704</v>
      </c>
      <c r="J2123" s="5">
        <v>955</v>
      </c>
    </row>
    <row r="2124" s="2" customFormat="1" spans="1:10">
      <c r="A2124" s="6">
        <f>2122</f>
        <v>2122</v>
      </c>
      <c r="B2124" s="6" t="s">
        <v>5705</v>
      </c>
      <c r="C2124" s="6" t="s">
        <v>12</v>
      </c>
      <c r="D2124" s="6" t="s">
        <v>5505</v>
      </c>
      <c r="E2124" s="6" t="s">
        <v>5602</v>
      </c>
      <c r="F2124" s="6" t="s">
        <v>5706</v>
      </c>
      <c r="G2124" s="6" t="s">
        <v>16</v>
      </c>
      <c r="H2124" s="5">
        <v>3</v>
      </c>
      <c r="I2124" s="6" t="s">
        <v>5707</v>
      </c>
      <c r="J2124" s="5">
        <v>780</v>
      </c>
    </row>
    <row r="2125" s="2" customFormat="1" spans="1:10">
      <c r="A2125" s="6">
        <f>2123</f>
        <v>2123</v>
      </c>
      <c r="B2125" s="6" t="s">
        <v>5708</v>
      </c>
      <c r="C2125" s="6" t="s">
        <v>12</v>
      </c>
      <c r="D2125" s="6" t="s">
        <v>5505</v>
      </c>
      <c r="E2125" s="6" t="s">
        <v>5602</v>
      </c>
      <c r="F2125" s="6" t="s">
        <v>5709</v>
      </c>
      <c r="G2125" s="6" t="s">
        <v>16</v>
      </c>
      <c r="H2125" s="5">
        <v>1</v>
      </c>
      <c r="I2125" s="6" t="s">
        <v>5709</v>
      </c>
      <c r="J2125" s="5">
        <v>260</v>
      </c>
    </row>
    <row r="2126" s="2" customFormat="1" spans="1:10">
      <c r="A2126" s="6">
        <f>2124</f>
        <v>2124</v>
      </c>
      <c r="B2126" s="6" t="s">
        <v>5710</v>
      </c>
      <c r="C2126" s="6" t="s">
        <v>12</v>
      </c>
      <c r="D2126" s="6" t="s">
        <v>5505</v>
      </c>
      <c r="E2126" s="6" t="s">
        <v>5602</v>
      </c>
      <c r="F2126" s="6" t="s">
        <v>5711</v>
      </c>
      <c r="G2126" s="6" t="s">
        <v>16</v>
      </c>
      <c r="H2126" s="5">
        <v>3</v>
      </c>
      <c r="I2126" s="6" t="s">
        <v>5712</v>
      </c>
      <c r="J2126" s="5">
        <v>580</v>
      </c>
    </row>
    <row r="2127" s="2" customFormat="1" spans="1:10">
      <c r="A2127" s="6">
        <f>2125</f>
        <v>2125</v>
      </c>
      <c r="B2127" s="6" t="s">
        <v>5713</v>
      </c>
      <c r="C2127" s="6" t="s">
        <v>12</v>
      </c>
      <c r="D2127" s="6" t="s">
        <v>5505</v>
      </c>
      <c r="E2127" s="6" t="s">
        <v>5602</v>
      </c>
      <c r="F2127" s="6" t="s">
        <v>5714</v>
      </c>
      <c r="G2127" s="6" t="s">
        <v>16</v>
      </c>
      <c r="H2127" s="5">
        <v>3</v>
      </c>
      <c r="I2127" s="6" t="s">
        <v>5715</v>
      </c>
      <c r="J2127" s="5">
        <v>1018</v>
      </c>
    </row>
    <row r="2128" s="2" customFormat="1" spans="1:10">
      <c r="A2128" s="6">
        <f>2126</f>
        <v>2126</v>
      </c>
      <c r="B2128" s="6" t="s">
        <v>5716</v>
      </c>
      <c r="C2128" s="6" t="s">
        <v>12</v>
      </c>
      <c r="D2128" s="6" t="s">
        <v>5505</v>
      </c>
      <c r="E2128" s="6" t="s">
        <v>5602</v>
      </c>
      <c r="F2128" s="6" t="s">
        <v>5717</v>
      </c>
      <c r="G2128" s="6" t="s">
        <v>16</v>
      </c>
      <c r="H2128" s="5">
        <v>1</v>
      </c>
      <c r="I2128" s="6" t="s">
        <v>5717</v>
      </c>
      <c r="J2128" s="5">
        <v>268</v>
      </c>
    </row>
    <row r="2129" s="2" customFormat="1" ht="40.5" spans="1:10">
      <c r="A2129" s="6">
        <f>2127</f>
        <v>2127</v>
      </c>
      <c r="B2129" s="6" t="s">
        <v>5718</v>
      </c>
      <c r="C2129" s="6" t="s">
        <v>12</v>
      </c>
      <c r="D2129" s="6" t="s">
        <v>5505</v>
      </c>
      <c r="E2129" s="6" t="s">
        <v>5602</v>
      </c>
      <c r="F2129" s="6" t="s">
        <v>5719</v>
      </c>
      <c r="G2129" s="6" t="s">
        <v>16</v>
      </c>
      <c r="H2129" s="5">
        <v>7</v>
      </c>
      <c r="I2129" s="6" t="s">
        <v>5720</v>
      </c>
      <c r="J2129" s="5">
        <v>1620</v>
      </c>
    </row>
    <row r="2130" s="2" customFormat="1" spans="1:10">
      <c r="A2130" s="6">
        <f>2128</f>
        <v>2128</v>
      </c>
      <c r="B2130" s="6" t="s">
        <v>5721</v>
      </c>
      <c r="C2130" s="6" t="s">
        <v>12</v>
      </c>
      <c r="D2130" s="6" t="s">
        <v>5505</v>
      </c>
      <c r="E2130" s="6" t="s">
        <v>5602</v>
      </c>
      <c r="F2130" s="6" t="s">
        <v>5722</v>
      </c>
      <c r="G2130" s="6" t="s">
        <v>16</v>
      </c>
      <c r="H2130" s="5">
        <v>3</v>
      </c>
      <c r="I2130" s="6" t="s">
        <v>5723</v>
      </c>
      <c r="J2130" s="5">
        <v>580</v>
      </c>
    </row>
    <row r="2131" s="2" customFormat="1" spans="1:10">
      <c r="A2131" s="6">
        <f>2129</f>
        <v>2129</v>
      </c>
      <c r="B2131" s="6" t="s">
        <v>5724</v>
      </c>
      <c r="C2131" s="6" t="s">
        <v>12</v>
      </c>
      <c r="D2131" s="6" t="s">
        <v>5505</v>
      </c>
      <c r="E2131" s="6" t="s">
        <v>5602</v>
      </c>
      <c r="F2131" s="6" t="s">
        <v>5725</v>
      </c>
      <c r="G2131" s="6" t="s">
        <v>16</v>
      </c>
      <c r="H2131" s="5">
        <v>1</v>
      </c>
      <c r="I2131" s="6" t="s">
        <v>5725</v>
      </c>
      <c r="J2131" s="5">
        <v>265</v>
      </c>
    </row>
    <row r="2132" s="2" customFormat="1" spans="1:10">
      <c r="A2132" s="6">
        <f>2130</f>
        <v>2130</v>
      </c>
      <c r="B2132" s="6" t="s">
        <v>5726</v>
      </c>
      <c r="C2132" s="6" t="s">
        <v>12</v>
      </c>
      <c r="D2132" s="6" t="s">
        <v>5505</v>
      </c>
      <c r="E2132" s="6" t="s">
        <v>5602</v>
      </c>
      <c r="F2132" s="6" t="s">
        <v>5727</v>
      </c>
      <c r="G2132" s="6" t="s">
        <v>16</v>
      </c>
      <c r="H2132" s="5">
        <v>2</v>
      </c>
      <c r="I2132" s="6" t="s">
        <v>5728</v>
      </c>
      <c r="J2132" s="5">
        <v>620</v>
      </c>
    </row>
    <row r="2133" s="2" customFormat="1" spans="1:10">
      <c r="A2133" s="6">
        <f>2131</f>
        <v>2131</v>
      </c>
      <c r="B2133" s="6" t="s">
        <v>5729</v>
      </c>
      <c r="C2133" s="6" t="s">
        <v>12</v>
      </c>
      <c r="D2133" s="6" t="s">
        <v>5505</v>
      </c>
      <c r="E2133" s="6" t="s">
        <v>5602</v>
      </c>
      <c r="F2133" s="6" t="s">
        <v>5730</v>
      </c>
      <c r="G2133" s="6" t="s">
        <v>16</v>
      </c>
      <c r="H2133" s="5">
        <v>1</v>
      </c>
      <c r="I2133" s="6" t="s">
        <v>5730</v>
      </c>
      <c r="J2133" s="5">
        <v>260</v>
      </c>
    </row>
    <row r="2134" s="2" customFormat="1" spans="1:10">
      <c r="A2134" s="6">
        <f>2132</f>
        <v>2132</v>
      </c>
      <c r="B2134" s="6" t="s">
        <v>5731</v>
      </c>
      <c r="C2134" s="6" t="s">
        <v>12</v>
      </c>
      <c r="D2134" s="6" t="s">
        <v>5505</v>
      </c>
      <c r="E2134" s="6" t="s">
        <v>5602</v>
      </c>
      <c r="F2134" s="6" t="s">
        <v>5725</v>
      </c>
      <c r="G2134" s="6" t="s">
        <v>16</v>
      </c>
      <c r="H2134" s="5">
        <v>2</v>
      </c>
      <c r="I2134" s="6" t="s">
        <v>5732</v>
      </c>
      <c r="J2134" s="5">
        <v>662</v>
      </c>
    </row>
    <row r="2135" s="2" customFormat="1" ht="27" spans="1:10">
      <c r="A2135" s="6">
        <f>2133</f>
        <v>2133</v>
      </c>
      <c r="B2135" s="6" t="s">
        <v>5733</v>
      </c>
      <c r="C2135" s="6" t="s">
        <v>12</v>
      </c>
      <c r="D2135" s="6" t="s">
        <v>5505</v>
      </c>
      <c r="E2135" s="6" t="s">
        <v>5602</v>
      </c>
      <c r="F2135" s="6" t="s">
        <v>5734</v>
      </c>
      <c r="G2135" s="6" t="s">
        <v>16</v>
      </c>
      <c r="H2135" s="5">
        <v>5</v>
      </c>
      <c r="I2135" s="6" t="s">
        <v>5735</v>
      </c>
      <c r="J2135" s="5">
        <v>995</v>
      </c>
    </row>
    <row r="2136" s="2" customFormat="1" ht="27" spans="1:10">
      <c r="A2136" s="6">
        <f>2134</f>
        <v>2134</v>
      </c>
      <c r="B2136" s="6" t="s">
        <v>5736</v>
      </c>
      <c r="C2136" s="6" t="s">
        <v>12</v>
      </c>
      <c r="D2136" s="6" t="s">
        <v>5505</v>
      </c>
      <c r="E2136" s="6" t="s">
        <v>5602</v>
      </c>
      <c r="F2136" s="6" t="s">
        <v>5737</v>
      </c>
      <c r="G2136" s="6" t="s">
        <v>16</v>
      </c>
      <c r="H2136" s="5">
        <v>4</v>
      </c>
      <c r="I2136" s="6" t="s">
        <v>5738</v>
      </c>
      <c r="J2136" s="5">
        <v>1960</v>
      </c>
    </row>
    <row r="2137" s="2" customFormat="1" spans="1:10">
      <c r="A2137" s="6">
        <f>2135</f>
        <v>2135</v>
      </c>
      <c r="B2137" s="6" t="s">
        <v>5739</v>
      </c>
      <c r="C2137" s="6" t="s">
        <v>12</v>
      </c>
      <c r="D2137" s="6" t="s">
        <v>5505</v>
      </c>
      <c r="E2137" s="6" t="s">
        <v>5602</v>
      </c>
      <c r="F2137" s="6" t="s">
        <v>5740</v>
      </c>
      <c r="G2137" s="6" t="s">
        <v>16</v>
      </c>
      <c r="H2137" s="5">
        <v>2</v>
      </c>
      <c r="I2137" s="6" t="s">
        <v>5741</v>
      </c>
      <c r="J2137" s="5">
        <v>546</v>
      </c>
    </row>
    <row r="2138" s="2" customFormat="1" spans="1:10">
      <c r="A2138" s="6">
        <f>2136</f>
        <v>2136</v>
      </c>
      <c r="B2138" s="6" t="s">
        <v>5742</v>
      </c>
      <c r="C2138" s="6" t="s">
        <v>12</v>
      </c>
      <c r="D2138" s="6" t="s">
        <v>5505</v>
      </c>
      <c r="E2138" s="6" t="s">
        <v>5602</v>
      </c>
      <c r="F2138" s="6" t="s">
        <v>5743</v>
      </c>
      <c r="G2138" s="6" t="s">
        <v>16</v>
      </c>
      <c r="H2138" s="5">
        <v>2</v>
      </c>
      <c r="I2138" s="6" t="s">
        <v>5744</v>
      </c>
      <c r="J2138" s="5">
        <v>480</v>
      </c>
    </row>
    <row r="2139" s="2" customFormat="1" spans="1:10">
      <c r="A2139" s="6">
        <f>2137</f>
        <v>2137</v>
      </c>
      <c r="B2139" s="6" t="s">
        <v>5745</v>
      </c>
      <c r="C2139" s="6" t="s">
        <v>12</v>
      </c>
      <c r="D2139" s="6" t="s">
        <v>5505</v>
      </c>
      <c r="E2139" s="6" t="s">
        <v>5602</v>
      </c>
      <c r="F2139" s="6" t="s">
        <v>5746</v>
      </c>
      <c r="G2139" s="6" t="s">
        <v>16</v>
      </c>
      <c r="H2139" s="5">
        <v>1</v>
      </c>
      <c r="I2139" s="6" t="s">
        <v>5746</v>
      </c>
      <c r="J2139" s="5">
        <v>238</v>
      </c>
    </row>
    <row r="2140" s="2" customFormat="1" spans="1:10">
      <c r="A2140" s="6">
        <f>2138</f>
        <v>2138</v>
      </c>
      <c r="B2140" s="6" t="s">
        <v>5747</v>
      </c>
      <c r="C2140" s="6" t="s">
        <v>12</v>
      </c>
      <c r="D2140" s="6" t="s">
        <v>5505</v>
      </c>
      <c r="E2140" s="6" t="s">
        <v>5602</v>
      </c>
      <c r="F2140" s="6" t="s">
        <v>5748</v>
      </c>
      <c r="G2140" s="6" t="s">
        <v>16</v>
      </c>
      <c r="H2140" s="5">
        <v>3</v>
      </c>
      <c r="I2140" s="6" t="s">
        <v>5749</v>
      </c>
      <c r="J2140" s="5">
        <v>600</v>
      </c>
    </row>
    <row r="2141" s="2" customFormat="1" spans="1:10">
      <c r="A2141" s="6">
        <f>2139</f>
        <v>2139</v>
      </c>
      <c r="B2141" s="6" t="s">
        <v>5750</v>
      </c>
      <c r="C2141" s="6" t="s">
        <v>12</v>
      </c>
      <c r="D2141" s="6" t="s">
        <v>5505</v>
      </c>
      <c r="E2141" s="6" t="s">
        <v>5602</v>
      </c>
      <c r="F2141" s="6" t="s">
        <v>5751</v>
      </c>
      <c r="G2141" s="6" t="s">
        <v>16</v>
      </c>
      <c r="H2141" s="5">
        <v>1</v>
      </c>
      <c r="I2141" s="6" t="s">
        <v>5751</v>
      </c>
      <c r="J2141" s="5">
        <v>215</v>
      </c>
    </row>
    <row r="2142" s="2" customFormat="1" spans="1:10">
      <c r="A2142" s="6">
        <f>2140</f>
        <v>2140</v>
      </c>
      <c r="B2142" s="6" t="s">
        <v>5752</v>
      </c>
      <c r="C2142" s="6" t="s">
        <v>12</v>
      </c>
      <c r="D2142" s="6" t="s">
        <v>5505</v>
      </c>
      <c r="E2142" s="6" t="s">
        <v>5602</v>
      </c>
      <c r="F2142" s="6" t="s">
        <v>5753</v>
      </c>
      <c r="G2142" s="6" t="s">
        <v>16</v>
      </c>
      <c r="H2142" s="5">
        <v>2</v>
      </c>
      <c r="I2142" s="6" t="s">
        <v>5754</v>
      </c>
      <c r="J2142" s="5">
        <v>520</v>
      </c>
    </row>
    <row r="2143" s="2" customFormat="1" spans="1:10">
      <c r="A2143" s="6">
        <f>2141</f>
        <v>2141</v>
      </c>
      <c r="B2143" s="6" t="s">
        <v>5755</v>
      </c>
      <c r="C2143" s="6" t="s">
        <v>12</v>
      </c>
      <c r="D2143" s="6" t="s">
        <v>5505</v>
      </c>
      <c r="E2143" s="6" t="s">
        <v>5602</v>
      </c>
      <c r="F2143" s="6" t="s">
        <v>5756</v>
      </c>
      <c r="G2143" s="6" t="s">
        <v>16</v>
      </c>
      <c r="H2143" s="5">
        <v>2</v>
      </c>
      <c r="I2143" s="6" t="s">
        <v>5757</v>
      </c>
      <c r="J2143" s="5">
        <v>840</v>
      </c>
    </row>
    <row r="2144" s="2" customFormat="1" spans="1:10">
      <c r="A2144" s="6">
        <f>2142</f>
        <v>2142</v>
      </c>
      <c r="B2144" s="6" t="s">
        <v>5758</v>
      </c>
      <c r="C2144" s="6" t="s">
        <v>12</v>
      </c>
      <c r="D2144" s="6" t="s">
        <v>5505</v>
      </c>
      <c r="E2144" s="6" t="s">
        <v>5602</v>
      </c>
      <c r="F2144" s="6" t="s">
        <v>5759</v>
      </c>
      <c r="G2144" s="6" t="s">
        <v>16</v>
      </c>
      <c r="H2144" s="5">
        <v>1</v>
      </c>
      <c r="I2144" s="6" t="s">
        <v>5759</v>
      </c>
      <c r="J2144" s="5">
        <v>382</v>
      </c>
    </row>
    <row r="2145" s="2" customFormat="1" spans="1:10">
      <c r="A2145" s="6">
        <f>2143</f>
        <v>2143</v>
      </c>
      <c r="B2145" s="6" t="s">
        <v>5760</v>
      </c>
      <c r="C2145" s="6" t="s">
        <v>12</v>
      </c>
      <c r="D2145" s="6" t="s">
        <v>5505</v>
      </c>
      <c r="E2145" s="6" t="s">
        <v>5602</v>
      </c>
      <c r="F2145" s="6" t="s">
        <v>5761</v>
      </c>
      <c r="G2145" s="6" t="s">
        <v>16</v>
      </c>
      <c r="H2145" s="5">
        <v>3</v>
      </c>
      <c r="I2145" s="6" t="s">
        <v>5762</v>
      </c>
      <c r="J2145" s="5">
        <v>680</v>
      </c>
    </row>
    <row r="2146" s="2" customFormat="1" spans="1:10">
      <c r="A2146" s="6">
        <f>2144</f>
        <v>2144</v>
      </c>
      <c r="B2146" s="6" t="s">
        <v>5763</v>
      </c>
      <c r="C2146" s="6" t="s">
        <v>12</v>
      </c>
      <c r="D2146" s="6" t="s">
        <v>5505</v>
      </c>
      <c r="E2146" s="6" t="s">
        <v>5602</v>
      </c>
      <c r="F2146" s="6" t="s">
        <v>5764</v>
      </c>
      <c r="G2146" s="6" t="s">
        <v>16</v>
      </c>
      <c r="H2146" s="5">
        <v>2</v>
      </c>
      <c r="I2146" s="6" t="s">
        <v>5765</v>
      </c>
      <c r="J2146" s="5">
        <v>474</v>
      </c>
    </row>
    <row r="2147" s="2" customFormat="1" spans="1:10">
      <c r="A2147" s="6">
        <f>2145</f>
        <v>2145</v>
      </c>
      <c r="B2147" s="6" t="s">
        <v>5766</v>
      </c>
      <c r="C2147" s="6" t="s">
        <v>12</v>
      </c>
      <c r="D2147" s="6" t="s">
        <v>5505</v>
      </c>
      <c r="E2147" s="6" t="s">
        <v>5602</v>
      </c>
      <c r="F2147" s="6" t="s">
        <v>5767</v>
      </c>
      <c r="G2147" s="6" t="s">
        <v>16</v>
      </c>
      <c r="H2147" s="5">
        <v>3</v>
      </c>
      <c r="I2147" s="6" t="s">
        <v>5768</v>
      </c>
      <c r="J2147" s="5">
        <v>884</v>
      </c>
    </row>
    <row r="2148" s="2" customFormat="1" spans="1:10">
      <c r="A2148" s="6">
        <f>2146</f>
        <v>2146</v>
      </c>
      <c r="B2148" s="6" t="s">
        <v>5769</v>
      </c>
      <c r="C2148" s="6" t="s">
        <v>12</v>
      </c>
      <c r="D2148" s="6" t="s">
        <v>5505</v>
      </c>
      <c r="E2148" s="6" t="s">
        <v>5602</v>
      </c>
      <c r="F2148" s="6" t="s">
        <v>5770</v>
      </c>
      <c r="G2148" s="6" t="s">
        <v>16</v>
      </c>
      <c r="H2148" s="5">
        <v>1</v>
      </c>
      <c r="I2148" s="6" t="s">
        <v>5770</v>
      </c>
      <c r="J2148" s="5">
        <v>460</v>
      </c>
    </row>
    <row r="2149" s="2" customFormat="1" spans="1:10">
      <c r="A2149" s="6">
        <f>2147</f>
        <v>2147</v>
      </c>
      <c r="B2149" s="6" t="s">
        <v>5771</v>
      </c>
      <c r="C2149" s="6" t="s">
        <v>12</v>
      </c>
      <c r="D2149" s="6" t="s">
        <v>5505</v>
      </c>
      <c r="E2149" s="6" t="s">
        <v>5602</v>
      </c>
      <c r="F2149" s="6" t="s">
        <v>5772</v>
      </c>
      <c r="G2149" s="6" t="s">
        <v>16</v>
      </c>
      <c r="H2149" s="5">
        <v>1</v>
      </c>
      <c r="I2149" s="6" t="s">
        <v>5772</v>
      </c>
      <c r="J2149" s="5">
        <v>395</v>
      </c>
    </row>
    <row r="2150" s="2" customFormat="1" ht="27" spans="1:10">
      <c r="A2150" s="6">
        <f>2148</f>
        <v>2148</v>
      </c>
      <c r="B2150" s="6" t="s">
        <v>5773</v>
      </c>
      <c r="C2150" s="6" t="s">
        <v>12</v>
      </c>
      <c r="D2150" s="6" t="s">
        <v>5505</v>
      </c>
      <c r="E2150" s="6" t="s">
        <v>5602</v>
      </c>
      <c r="F2150" s="6" t="s">
        <v>5774</v>
      </c>
      <c r="G2150" s="6" t="s">
        <v>16</v>
      </c>
      <c r="H2150" s="5">
        <v>4</v>
      </c>
      <c r="I2150" s="6" t="s">
        <v>5775</v>
      </c>
      <c r="J2150" s="5">
        <v>1070</v>
      </c>
    </row>
    <row r="2151" s="2" customFormat="1" spans="1:10">
      <c r="A2151" s="6">
        <f>2149</f>
        <v>2149</v>
      </c>
      <c r="B2151" s="6" t="s">
        <v>5776</v>
      </c>
      <c r="C2151" s="6" t="s">
        <v>12</v>
      </c>
      <c r="D2151" s="6" t="s">
        <v>5505</v>
      </c>
      <c r="E2151" s="6" t="s">
        <v>5602</v>
      </c>
      <c r="F2151" s="6" t="s">
        <v>5777</v>
      </c>
      <c r="G2151" s="6" t="s">
        <v>16</v>
      </c>
      <c r="H2151" s="5">
        <v>1</v>
      </c>
      <c r="I2151" s="6" t="s">
        <v>5777</v>
      </c>
      <c r="J2151" s="5">
        <v>233</v>
      </c>
    </row>
    <row r="2152" s="2" customFormat="1" spans="1:10">
      <c r="A2152" s="6">
        <f>2150</f>
        <v>2150</v>
      </c>
      <c r="B2152" s="6" t="s">
        <v>5778</v>
      </c>
      <c r="C2152" s="6" t="s">
        <v>12</v>
      </c>
      <c r="D2152" s="6" t="s">
        <v>5505</v>
      </c>
      <c r="E2152" s="6" t="s">
        <v>5602</v>
      </c>
      <c r="F2152" s="6" t="s">
        <v>5779</v>
      </c>
      <c r="G2152" s="6" t="s">
        <v>16</v>
      </c>
      <c r="H2152" s="5">
        <v>1</v>
      </c>
      <c r="I2152" s="6" t="s">
        <v>5779</v>
      </c>
      <c r="J2152" s="5">
        <v>238</v>
      </c>
    </row>
    <row r="2153" s="2" customFormat="1" spans="1:10">
      <c r="A2153" s="6">
        <f>2151</f>
        <v>2151</v>
      </c>
      <c r="B2153" s="6" t="s">
        <v>5780</v>
      </c>
      <c r="C2153" s="6" t="s">
        <v>12</v>
      </c>
      <c r="D2153" s="6" t="s">
        <v>5505</v>
      </c>
      <c r="E2153" s="6" t="s">
        <v>5602</v>
      </c>
      <c r="F2153" s="6" t="s">
        <v>5781</v>
      </c>
      <c r="G2153" s="6" t="s">
        <v>16</v>
      </c>
      <c r="H2153" s="5">
        <v>2</v>
      </c>
      <c r="I2153" s="6" t="s">
        <v>5782</v>
      </c>
      <c r="J2153" s="5">
        <v>640</v>
      </c>
    </row>
    <row r="2154" s="2" customFormat="1" spans="1:10">
      <c r="A2154" s="6">
        <f>2152</f>
        <v>2152</v>
      </c>
      <c r="B2154" s="6" t="s">
        <v>5783</v>
      </c>
      <c r="C2154" s="6" t="s">
        <v>12</v>
      </c>
      <c r="D2154" s="6" t="s">
        <v>5505</v>
      </c>
      <c r="E2154" s="6" t="s">
        <v>5602</v>
      </c>
      <c r="F2154" s="6" t="s">
        <v>5784</v>
      </c>
      <c r="G2154" s="6" t="s">
        <v>16</v>
      </c>
      <c r="H2154" s="5">
        <v>1</v>
      </c>
      <c r="I2154" s="6" t="s">
        <v>5784</v>
      </c>
      <c r="J2154" s="5">
        <v>460</v>
      </c>
    </row>
    <row r="2155" s="2" customFormat="1" spans="1:10">
      <c r="A2155" s="6">
        <f>2153</f>
        <v>2153</v>
      </c>
      <c r="B2155" s="6" t="s">
        <v>5785</v>
      </c>
      <c r="C2155" s="6" t="s">
        <v>12</v>
      </c>
      <c r="D2155" s="6" t="s">
        <v>5505</v>
      </c>
      <c r="E2155" s="6" t="s">
        <v>5602</v>
      </c>
      <c r="F2155" s="6" t="s">
        <v>5786</v>
      </c>
      <c r="G2155" s="6" t="s">
        <v>16</v>
      </c>
      <c r="H2155" s="5">
        <v>3</v>
      </c>
      <c r="I2155" s="6" t="s">
        <v>5787</v>
      </c>
      <c r="J2155" s="5">
        <v>740</v>
      </c>
    </row>
    <row r="2156" s="2" customFormat="1" spans="1:10">
      <c r="A2156" s="6">
        <f>2154</f>
        <v>2154</v>
      </c>
      <c r="B2156" s="6" t="s">
        <v>5788</v>
      </c>
      <c r="C2156" s="6" t="s">
        <v>12</v>
      </c>
      <c r="D2156" s="6" t="s">
        <v>5505</v>
      </c>
      <c r="E2156" s="6" t="s">
        <v>5602</v>
      </c>
      <c r="F2156" s="6" t="s">
        <v>5789</v>
      </c>
      <c r="G2156" s="6" t="s">
        <v>16</v>
      </c>
      <c r="H2156" s="5">
        <v>2</v>
      </c>
      <c r="I2156" s="6" t="s">
        <v>5790</v>
      </c>
      <c r="J2156" s="5">
        <v>1020</v>
      </c>
    </row>
    <row r="2157" s="2" customFormat="1" spans="1:10">
      <c r="A2157" s="6">
        <f>2155</f>
        <v>2155</v>
      </c>
      <c r="B2157" s="6" t="s">
        <v>5791</v>
      </c>
      <c r="C2157" s="6" t="s">
        <v>12</v>
      </c>
      <c r="D2157" s="6" t="s">
        <v>5505</v>
      </c>
      <c r="E2157" s="6" t="s">
        <v>5602</v>
      </c>
      <c r="F2157" s="6" t="s">
        <v>5792</v>
      </c>
      <c r="G2157" s="6" t="s">
        <v>16</v>
      </c>
      <c r="H2157" s="5">
        <v>3</v>
      </c>
      <c r="I2157" s="6" t="s">
        <v>5793</v>
      </c>
      <c r="J2157" s="5">
        <v>780</v>
      </c>
    </row>
    <row r="2158" s="2" customFormat="1" spans="1:10">
      <c r="A2158" s="6">
        <f>2156</f>
        <v>2156</v>
      </c>
      <c r="B2158" s="6" t="s">
        <v>5794</v>
      </c>
      <c r="C2158" s="6" t="s">
        <v>12</v>
      </c>
      <c r="D2158" s="6" t="s">
        <v>5505</v>
      </c>
      <c r="E2158" s="6" t="s">
        <v>5795</v>
      </c>
      <c r="F2158" s="6" t="s">
        <v>5796</v>
      </c>
      <c r="G2158" s="6" t="s">
        <v>16</v>
      </c>
      <c r="H2158" s="5">
        <v>3</v>
      </c>
      <c r="I2158" s="6" t="s">
        <v>5797</v>
      </c>
      <c r="J2158" s="5">
        <v>1140</v>
      </c>
    </row>
    <row r="2159" s="2" customFormat="1" spans="1:10">
      <c r="A2159" s="6">
        <f>2157</f>
        <v>2157</v>
      </c>
      <c r="B2159" s="6" t="s">
        <v>5798</v>
      </c>
      <c r="C2159" s="6" t="s">
        <v>12</v>
      </c>
      <c r="D2159" s="6" t="s">
        <v>5505</v>
      </c>
      <c r="E2159" s="6" t="s">
        <v>5795</v>
      </c>
      <c r="F2159" s="6" t="s">
        <v>5799</v>
      </c>
      <c r="G2159" s="6" t="s">
        <v>16</v>
      </c>
      <c r="H2159" s="5">
        <v>3</v>
      </c>
      <c r="I2159" s="6" t="s">
        <v>5800</v>
      </c>
      <c r="J2159" s="5">
        <v>780</v>
      </c>
    </row>
    <row r="2160" s="2" customFormat="1" ht="27" spans="1:10">
      <c r="A2160" s="6">
        <f>2158</f>
        <v>2158</v>
      </c>
      <c r="B2160" s="6" t="s">
        <v>5801</v>
      </c>
      <c r="C2160" s="6" t="s">
        <v>12</v>
      </c>
      <c r="D2160" s="6" t="s">
        <v>5505</v>
      </c>
      <c r="E2160" s="6" t="s">
        <v>5795</v>
      </c>
      <c r="F2160" s="6" t="s">
        <v>5802</v>
      </c>
      <c r="G2160" s="6" t="s">
        <v>16</v>
      </c>
      <c r="H2160" s="5">
        <v>4</v>
      </c>
      <c r="I2160" s="6" t="s">
        <v>5803</v>
      </c>
      <c r="J2160" s="5">
        <v>840</v>
      </c>
    </row>
    <row r="2161" s="2" customFormat="1" ht="27" spans="1:10">
      <c r="A2161" s="6">
        <f>2159</f>
        <v>2159</v>
      </c>
      <c r="B2161" s="6" t="s">
        <v>5804</v>
      </c>
      <c r="C2161" s="6" t="s">
        <v>12</v>
      </c>
      <c r="D2161" s="6" t="s">
        <v>5505</v>
      </c>
      <c r="E2161" s="6" t="s">
        <v>5795</v>
      </c>
      <c r="F2161" s="6" t="s">
        <v>5805</v>
      </c>
      <c r="G2161" s="6" t="s">
        <v>16</v>
      </c>
      <c r="H2161" s="5">
        <v>5</v>
      </c>
      <c r="I2161" s="6" t="s">
        <v>5806</v>
      </c>
      <c r="J2161" s="5">
        <v>810</v>
      </c>
    </row>
    <row r="2162" s="2" customFormat="1" spans="1:10">
      <c r="A2162" s="6">
        <f>2160</f>
        <v>2160</v>
      </c>
      <c r="B2162" s="6" t="s">
        <v>5807</v>
      </c>
      <c r="C2162" s="6" t="s">
        <v>12</v>
      </c>
      <c r="D2162" s="6" t="s">
        <v>5505</v>
      </c>
      <c r="E2162" s="6" t="s">
        <v>5795</v>
      </c>
      <c r="F2162" s="6" t="s">
        <v>5808</v>
      </c>
      <c r="G2162" s="6" t="s">
        <v>16</v>
      </c>
      <c r="H2162" s="5">
        <v>1</v>
      </c>
      <c r="I2162" s="6" t="s">
        <v>5808</v>
      </c>
      <c r="J2162" s="5">
        <v>260</v>
      </c>
    </row>
    <row r="2163" s="2" customFormat="1" spans="1:10">
      <c r="A2163" s="6">
        <f>2161</f>
        <v>2161</v>
      </c>
      <c r="B2163" s="6" t="s">
        <v>5809</v>
      </c>
      <c r="C2163" s="6" t="s">
        <v>12</v>
      </c>
      <c r="D2163" s="6" t="s">
        <v>5505</v>
      </c>
      <c r="E2163" s="6" t="s">
        <v>5795</v>
      </c>
      <c r="F2163" s="6" t="s">
        <v>5810</v>
      </c>
      <c r="G2163" s="6" t="s">
        <v>16</v>
      </c>
      <c r="H2163" s="5">
        <v>2</v>
      </c>
      <c r="I2163" s="6" t="s">
        <v>5811</v>
      </c>
      <c r="J2163" s="5">
        <v>880</v>
      </c>
    </row>
    <row r="2164" s="2" customFormat="1" ht="27" spans="1:10">
      <c r="A2164" s="6">
        <f>2162</f>
        <v>2162</v>
      </c>
      <c r="B2164" s="6" t="s">
        <v>5812</v>
      </c>
      <c r="C2164" s="6" t="s">
        <v>12</v>
      </c>
      <c r="D2164" s="6" t="s">
        <v>5505</v>
      </c>
      <c r="E2164" s="6" t="s">
        <v>5795</v>
      </c>
      <c r="F2164" s="6" t="s">
        <v>5813</v>
      </c>
      <c r="G2164" s="6" t="s">
        <v>16</v>
      </c>
      <c r="H2164" s="5">
        <v>5</v>
      </c>
      <c r="I2164" s="6" t="s">
        <v>5814</v>
      </c>
      <c r="J2164" s="5">
        <v>2000</v>
      </c>
    </row>
    <row r="2165" s="2" customFormat="1" spans="1:10">
      <c r="A2165" s="6">
        <f>2163</f>
        <v>2163</v>
      </c>
      <c r="B2165" s="6" t="s">
        <v>5815</v>
      </c>
      <c r="C2165" s="6" t="s">
        <v>12</v>
      </c>
      <c r="D2165" s="6" t="s">
        <v>5505</v>
      </c>
      <c r="E2165" s="6" t="s">
        <v>5795</v>
      </c>
      <c r="F2165" s="6" t="s">
        <v>5816</v>
      </c>
      <c r="G2165" s="6" t="s">
        <v>16</v>
      </c>
      <c r="H2165" s="5">
        <v>2</v>
      </c>
      <c r="I2165" s="6" t="s">
        <v>5817</v>
      </c>
      <c r="J2165" s="5">
        <v>780</v>
      </c>
    </row>
    <row r="2166" s="2" customFormat="1" spans="1:10">
      <c r="A2166" s="6">
        <f>2164</f>
        <v>2164</v>
      </c>
      <c r="B2166" s="6" t="s">
        <v>5818</v>
      </c>
      <c r="C2166" s="6" t="s">
        <v>12</v>
      </c>
      <c r="D2166" s="6" t="s">
        <v>5505</v>
      </c>
      <c r="E2166" s="6" t="s">
        <v>5795</v>
      </c>
      <c r="F2166" s="6" t="s">
        <v>5819</v>
      </c>
      <c r="G2166" s="6" t="s">
        <v>16</v>
      </c>
      <c r="H2166" s="5">
        <v>3</v>
      </c>
      <c r="I2166" s="6" t="s">
        <v>5820</v>
      </c>
      <c r="J2166" s="5">
        <v>500</v>
      </c>
    </row>
    <row r="2167" s="2" customFormat="1" ht="27" spans="1:10">
      <c r="A2167" s="6">
        <f>2165</f>
        <v>2165</v>
      </c>
      <c r="B2167" s="6" t="s">
        <v>5821</v>
      </c>
      <c r="C2167" s="6" t="s">
        <v>12</v>
      </c>
      <c r="D2167" s="6" t="s">
        <v>5505</v>
      </c>
      <c r="E2167" s="6" t="s">
        <v>5795</v>
      </c>
      <c r="F2167" s="6" t="s">
        <v>5822</v>
      </c>
      <c r="G2167" s="6" t="s">
        <v>16</v>
      </c>
      <c r="H2167" s="5">
        <v>4</v>
      </c>
      <c r="I2167" s="6" t="s">
        <v>5823</v>
      </c>
      <c r="J2167" s="5">
        <v>840</v>
      </c>
    </row>
    <row r="2168" s="2" customFormat="1" spans="1:10">
      <c r="A2168" s="6">
        <f>2166</f>
        <v>2166</v>
      </c>
      <c r="B2168" s="6" t="s">
        <v>5824</v>
      </c>
      <c r="C2168" s="6" t="s">
        <v>12</v>
      </c>
      <c r="D2168" s="6" t="s">
        <v>5505</v>
      </c>
      <c r="E2168" s="6" t="s">
        <v>5795</v>
      </c>
      <c r="F2168" s="6" t="s">
        <v>5825</v>
      </c>
      <c r="G2168" s="6" t="s">
        <v>16</v>
      </c>
      <c r="H2168" s="5">
        <v>1</v>
      </c>
      <c r="I2168" s="6" t="s">
        <v>5825</v>
      </c>
      <c r="J2168" s="5">
        <v>440</v>
      </c>
    </row>
    <row r="2169" s="2" customFormat="1" spans="1:10">
      <c r="A2169" s="6">
        <f>2167</f>
        <v>2167</v>
      </c>
      <c r="B2169" s="6" t="s">
        <v>5826</v>
      </c>
      <c r="C2169" s="6" t="s">
        <v>12</v>
      </c>
      <c r="D2169" s="6" t="s">
        <v>5505</v>
      </c>
      <c r="E2169" s="6" t="s">
        <v>5795</v>
      </c>
      <c r="F2169" s="6" t="s">
        <v>5827</v>
      </c>
      <c r="G2169" s="6" t="s">
        <v>16</v>
      </c>
      <c r="H2169" s="5">
        <v>1</v>
      </c>
      <c r="I2169" s="6" t="s">
        <v>5827</v>
      </c>
      <c r="J2169" s="5">
        <v>440</v>
      </c>
    </row>
    <row r="2170" s="2" customFormat="1" spans="1:10">
      <c r="A2170" s="6">
        <f>2168</f>
        <v>2168</v>
      </c>
      <c r="B2170" s="6" t="s">
        <v>5828</v>
      </c>
      <c r="C2170" s="6" t="s">
        <v>12</v>
      </c>
      <c r="D2170" s="6" t="s">
        <v>5505</v>
      </c>
      <c r="E2170" s="6" t="s">
        <v>5795</v>
      </c>
      <c r="F2170" s="6" t="s">
        <v>5829</v>
      </c>
      <c r="G2170" s="6" t="s">
        <v>16</v>
      </c>
      <c r="H2170" s="5">
        <v>1</v>
      </c>
      <c r="I2170" s="6" t="s">
        <v>5829</v>
      </c>
      <c r="J2170" s="5">
        <v>540</v>
      </c>
    </row>
    <row r="2171" s="2" customFormat="1" spans="1:10">
      <c r="A2171" s="6">
        <f>2169</f>
        <v>2169</v>
      </c>
      <c r="B2171" s="6" t="s">
        <v>5830</v>
      </c>
      <c r="C2171" s="6" t="s">
        <v>12</v>
      </c>
      <c r="D2171" s="6" t="s">
        <v>5505</v>
      </c>
      <c r="E2171" s="6" t="s">
        <v>5795</v>
      </c>
      <c r="F2171" s="6" t="s">
        <v>5831</v>
      </c>
      <c r="G2171" s="6" t="s">
        <v>16</v>
      </c>
      <c r="H2171" s="5">
        <v>3</v>
      </c>
      <c r="I2171" s="6" t="s">
        <v>5832</v>
      </c>
      <c r="J2171" s="5">
        <v>1320</v>
      </c>
    </row>
    <row r="2172" s="2" customFormat="1" spans="1:10">
      <c r="A2172" s="6">
        <f>2170</f>
        <v>2170</v>
      </c>
      <c r="B2172" s="6" t="s">
        <v>5833</v>
      </c>
      <c r="C2172" s="6" t="s">
        <v>12</v>
      </c>
      <c r="D2172" s="6" t="s">
        <v>5505</v>
      </c>
      <c r="E2172" s="6" t="s">
        <v>5795</v>
      </c>
      <c r="F2172" s="6" t="s">
        <v>5834</v>
      </c>
      <c r="G2172" s="6" t="s">
        <v>16</v>
      </c>
      <c r="H2172" s="5">
        <v>2</v>
      </c>
      <c r="I2172" s="6" t="s">
        <v>5835</v>
      </c>
      <c r="J2172" s="5">
        <v>520</v>
      </c>
    </row>
    <row r="2173" s="2" customFormat="1" ht="27" spans="1:10">
      <c r="A2173" s="6">
        <f>2171</f>
        <v>2171</v>
      </c>
      <c r="B2173" s="6" t="s">
        <v>5836</v>
      </c>
      <c r="C2173" s="6" t="s">
        <v>12</v>
      </c>
      <c r="D2173" s="6" t="s">
        <v>5505</v>
      </c>
      <c r="E2173" s="6" t="s">
        <v>5795</v>
      </c>
      <c r="F2173" s="6" t="s">
        <v>5837</v>
      </c>
      <c r="G2173" s="6" t="s">
        <v>16</v>
      </c>
      <c r="H2173" s="5">
        <v>4</v>
      </c>
      <c r="I2173" s="6" t="s">
        <v>5838</v>
      </c>
      <c r="J2173" s="5">
        <v>1760</v>
      </c>
    </row>
    <row r="2174" s="2" customFormat="1" spans="1:10">
      <c r="A2174" s="6">
        <f>2172</f>
        <v>2172</v>
      </c>
      <c r="B2174" s="6" t="s">
        <v>5839</v>
      </c>
      <c r="C2174" s="6" t="s">
        <v>12</v>
      </c>
      <c r="D2174" s="6" t="s">
        <v>5505</v>
      </c>
      <c r="E2174" s="6" t="s">
        <v>5795</v>
      </c>
      <c r="F2174" s="6" t="s">
        <v>5840</v>
      </c>
      <c r="G2174" s="6" t="s">
        <v>16</v>
      </c>
      <c r="H2174" s="5">
        <v>1</v>
      </c>
      <c r="I2174" s="6" t="s">
        <v>5840</v>
      </c>
      <c r="J2174" s="5">
        <v>260</v>
      </c>
    </row>
    <row r="2175" s="2" customFormat="1" spans="1:10">
      <c r="A2175" s="6">
        <f>2173</f>
        <v>2173</v>
      </c>
      <c r="B2175" s="6" t="s">
        <v>5841</v>
      </c>
      <c r="C2175" s="6" t="s">
        <v>12</v>
      </c>
      <c r="D2175" s="6" t="s">
        <v>5505</v>
      </c>
      <c r="E2175" s="6" t="s">
        <v>5795</v>
      </c>
      <c r="F2175" s="6" t="s">
        <v>5842</v>
      </c>
      <c r="G2175" s="6" t="s">
        <v>16</v>
      </c>
      <c r="H2175" s="5">
        <v>2</v>
      </c>
      <c r="I2175" s="6" t="s">
        <v>5843</v>
      </c>
      <c r="J2175" s="5">
        <v>760</v>
      </c>
    </row>
    <row r="2176" s="2" customFormat="1" spans="1:10">
      <c r="A2176" s="6">
        <f>2174</f>
        <v>2174</v>
      </c>
      <c r="B2176" s="6" t="s">
        <v>5844</v>
      </c>
      <c r="C2176" s="6" t="s">
        <v>12</v>
      </c>
      <c r="D2176" s="6" t="s">
        <v>5505</v>
      </c>
      <c r="E2176" s="6" t="s">
        <v>5795</v>
      </c>
      <c r="F2176" s="6" t="s">
        <v>5845</v>
      </c>
      <c r="G2176" s="6" t="s">
        <v>16</v>
      </c>
      <c r="H2176" s="5">
        <v>2</v>
      </c>
      <c r="I2176" s="6" t="s">
        <v>5846</v>
      </c>
      <c r="J2176" s="5">
        <v>720</v>
      </c>
    </row>
    <row r="2177" s="2" customFormat="1" spans="1:10">
      <c r="A2177" s="6">
        <f>2175</f>
        <v>2175</v>
      </c>
      <c r="B2177" s="6" t="s">
        <v>5847</v>
      </c>
      <c r="C2177" s="6" t="s">
        <v>12</v>
      </c>
      <c r="D2177" s="6" t="s">
        <v>5505</v>
      </c>
      <c r="E2177" s="6" t="s">
        <v>5795</v>
      </c>
      <c r="F2177" s="6" t="s">
        <v>5848</v>
      </c>
      <c r="G2177" s="6" t="s">
        <v>16</v>
      </c>
      <c r="H2177" s="5">
        <v>1</v>
      </c>
      <c r="I2177" s="6" t="s">
        <v>5848</v>
      </c>
      <c r="J2177" s="5">
        <v>260</v>
      </c>
    </row>
    <row r="2178" s="2" customFormat="1" spans="1:10">
      <c r="A2178" s="6">
        <f>2176</f>
        <v>2176</v>
      </c>
      <c r="B2178" s="6" t="s">
        <v>5849</v>
      </c>
      <c r="C2178" s="6" t="s">
        <v>12</v>
      </c>
      <c r="D2178" s="6" t="s">
        <v>5505</v>
      </c>
      <c r="E2178" s="6" t="s">
        <v>5795</v>
      </c>
      <c r="F2178" s="6" t="s">
        <v>5850</v>
      </c>
      <c r="G2178" s="6" t="s">
        <v>16</v>
      </c>
      <c r="H2178" s="5">
        <v>2</v>
      </c>
      <c r="I2178" s="6" t="s">
        <v>5851</v>
      </c>
      <c r="J2178" s="5">
        <v>880</v>
      </c>
    </row>
    <row r="2179" s="2" customFormat="1" ht="27" spans="1:10">
      <c r="A2179" s="6">
        <f>2177</f>
        <v>2177</v>
      </c>
      <c r="B2179" s="6" t="s">
        <v>5852</v>
      </c>
      <c r="C2179" s="6" t="s">
        <v>12</v>
      </c>
      <c r="D2179" s="6" t="s">
        <v>5505</v>
      </c>
      <c r="E2179" s="6" t="s">
        <v>5795</v>
      </c>
      <c r="F2179" s="6" t="s">
        <v>5853</v>
      </c>
      <c r="G2179" s="6" t="s">
        <v>16</v>
      </c>
      <c r="H2179" s="5">
        <v>4</v>
      </c>
      <c r="I2179" s="6" t="s">
        <v>5854</v>
      </c>
      <c r="J2179" s="5">
        <v>740</v>
      </c>
    </row>
    <row r="2180" s="2" customFormat="1" spans="1:10">
      <c r="A2180" s="6">
        <f>2178</f>
        <v>2178</v>
      </c>
      <c r="B2180" s="6" t="s">
        <v>5855</v>
      </c>
      <c r="C2180" s="6" t="s">
        <v>12</v>
      </c>
      <c r="D2180" s="6" t="s">
        <v>5505</v>
      </c>
      <c r="E2180" s="6" t="s">
        <v>5795</v>
      </c>
      <c r="F2180" s="6" t="s">
        <v>5856</v>
      </c>
      <c r="G2180" s="6" t="s">
        <v>16</v>
      </c>
      <c r="H2180" s="5">
        <v>1</v>
      </c>
      <c r="I2180" s="6" t="s">
        <v>5856</v>
      </c>
      <c r="J2180" s="5">
        <v>238</v>
      </c>
    </row>
    <row r="2181" s="2" customFormat="1" spans="1:10">
      <c r="A2181" s="6">
        <f>2179</f>
        <v>2179</v>
      </c>
      <c r="B2181" s="6" t="s">
        <v>5857</v>
      </c>
      <c r="C2181" s="6" t="s">
        <v>12</v>
      </c>
      <c r="D2181" s="6" t="s">
        <v>5505</v>
      </c>
      <c r="E2181" s="6" t="s">
        <v>5795</v>
      </c>
      <c r="F2181" s="6" t="s">
        <v>5858</v>
      </c>
      <c r="G2181" s="6" t="s">
        <v>16</v>
      </c>
      <c r="H2181" s="5">
        <v>1</v>
      </c>
      <c r="I2181" s="6" t="s">
        <v>5858</v>
      </c>
      <c r="J2181" s="5">
        <v>340</v>
      </c>
    </row>
    <row r="2182" s="2" customFormat="1" spans="1:10">
      <c r="A2182" s="6">
        <f>2180</f>
        <v>2180</v>
      </c>
      <c r="B2182" s="6" t="s">
        <v>5859</v>
      </c>
      <c r="C2182" s="6" t="s">
        <v>12</v>
      </c>
      <c r="D2182" s="6" t="s">
        <v>5505</v>
      </c>
      <c r="E2182" s="6" t="s">
        <v>5795</v>
      </c>
      <c r="F2182" s="6" t="s">
        <v>5860</v>
      </c>
      <c r="G2182" s="6" t="s">
        <v>16</v>
      </c>
      <c r="H2182" s="5">
        <v>2</v>
      </c>
      <c r="I2182" s="6" t="s">
        <v>5861</v>
      </c>
      <c r="J2182" s="5">
        <v>476</v>
      </c>
    </row>
    <row r="2183" s="2" customFormat="1" ht="27" spans="1:10">
      <c r="A2183" s="6">
        <f>2181</f>
        <v>2181</v>
      </c>
      <c r="B2183" s="6" t="s">
        <v>5862</v>
      </c>
      <c r="C2183" s="6" t="s">
        <v>12</v>
      </c>
      <c r="D2183" s="6" t="s">
        <v>5505</v>
      </c>
      <c r="E2183" s="6" t="s">
        <v>5795</v>
      </c>
      <c r="F2183" s="6" t="s">
        <v>5863</v>
      </c>
      <c r="G2183" s="6" t="s">
        <v>16</v>
      </c>
      <c r="H2183" s="5">
        <v>4</v>
      </c>
      <c r="I2183" s="6" t="s">
        <v>5864</v>
      </c>
      <c r="J2183" s="5">
        <v>690</v>
      </c>
    </row>
    <row r="2184" s="2" customFormat="1" spans="1:10">
      <c r="A2184" s="6">
        <f>2182</f>
        <v>2182</v>
      </c>
      <c r="B2184" s="6" t="s">
        <v>5865</v>
      </c>
      <c r="C2184" s="6" t="s">
        <v>12</v>
      </c>
      <c r="D2184" s="6" t="s">
        <v>5505</v>
      </c>
      <c r="E2184" s="6" t="s">
        <v>5795</v>
      </c>
      <c r="F2184" s="6" t="s">
        <v>5866</v>
      </c>
      <c r="G2184" s="6" t="s">
        <v>16</v>
      </c>
      <c r="H2184" s="5">
        <v>2</v>
      </c>
      <c r="I2184" s="6" t="s">
        <v>5867</v>
      </c>
      <c r="J2184" s="5">
        <v>565</v>
      </c>
    </row>
    <row r="2185" s="2" customFormat="1" spans="1:10">
      <c r="A2185" s="6">
        <f>2183</f>
        <v>2183</v>
      </c>
      <c r="B2185" s="6" t="s">
        <v>5868</v>
      </c>
      <c r="C2185" s="6" t="s">
        <v>12</v>
      </c>
      <c r="D2185" s="6" t="s">
        <v>5505</v>
      </c>
      <c r="E2185" s="6" t="s">
        <v>5795</v>
      </c>
      <c r="F2185" s="6" t="s">
        <v>5869</v>
      </c>
      <c r="G2185" s="6" t="s">
        <v>16</v>
      </c>
      <c r="H2185" s="5">
        <v>1</v>
      </c>
      <c r="I2185" s="6" t="s">
        <v>5869</v>
      </c>
      <c r="J2185" s="5">
        <v>360</v>
      </c>
    </row>
    <row r="2186" s="2" customFormat="1" spans="1:10">
      <c r="A2186" s="6">
        <f>2184</f>
        <v>2184</v>
      </c>
      <c r="B2186" s="6" t="s">
        <v>5870</v>
      </c>
      <c r="C2186" s="6" t="s">
        <v>12</v>
      </c>
      <c r="D2186" s="6" t="s">
        <v>5505</v>
      </c>
      <c r="E2186" s="6" t="s">
        <v>5795</v>
      </c>
      <c r="F2186" s="6" t="s">
        <v>5871</v>
      </c>
      <c r="G2186" s="6" t="s">
        <v>16</v>
      </c>
      <c r="H2186" s="5">
        <v>1</v>
      </c>
      <c r="I2186" s="6" t="s">
        <v>5871</v>
      </c>
      <c r="J2186" s="5">
        <v>265</v>
      </c>
    </row>
    <row r="2187" s="2" customFormat="1" spans="1:10">
      <c r="A2187" s="6">
        <f>2185</f>
        <v>2185</v>
      </c>
      <c r="B2187" s="6" t="s">
        <v>5872</v>
      </c>
      <c r="C2187" s="6" t="s">
        <v>12</v>
      </c>
      <c r="D2187" s="6" t="s">
        <v>5505</v>
      </c>
      <c r="E2187" s="6" t="s">
        <v>5795</v>
      </c>
      <c r="F2187" s="6" t="s">
        <v>5873</v>
      </c>
      <c r="G2187" s="6" t="s">
        <v>16</v>
      </c>
      <c r="H2187" s="5">
        <v>1</v>
      </c>
      <c r="I2187" s="6" t="s">
        <v>5873</v>
      </c>
      <c r="J2187" s="5">
        <v>288</v>
      </c>
    </row>
    <row r="2188" s="2" customFormat="1" spans="1:10">
      <c r="A2188" s="6">
        <f>2186</f>
        <v>2186</v>
      </c>
      <c r="B2188" s="6" t="s">
        <v>5874</v>
      </c>
      <c r="C2188" s="6" t="s">
        <v>12</v>
      </c>
      <c r="D2188" s="6" t="s">
        <v>5505</v>
      </c>
      <c r="E2188" s="6" t="s">
        <v>5795</v>
      </c>
      <c r="F2188" s="6" t="s">
        <v>5875</v>
      </c>
      <c r="G2188" s="6" t="s">
        <v>16</v>
      </c>
      <c r="H2188" s="5">
        <v>1</v>
      </c>
      <c r="I2188" s="6" t="s">
        <v>5875</v>
      </c>
      <c r="J2188" s="5">
        <v>380</v>
      </c>
    </row>
    <row r="2189" s="2" customFormat="1" spans="1:10">
      <c r="A2189" s="6">
        <f>2187</f>
        <v>2187</v>
      </c>
      <c r="B2189" s="6" t="s">
        <v>5876</v>
      </c>
      <c r="C2189" s="6" t="s">
        <v>12</v>
      </c>
      <c r="D2189" s="6" t="s">
        <v>5505</v>
      </c>
      <c r="E2189" s="6" t="s">
        <v>5795</v>
      </c>
      <c r="F2189" s="6" t="s">
        <v>5877</v>
      </c>
      <c r="G2189" s="6" t="s">
        <v>16</v>
      </c>
      <c r="H2189" s="5">
        <v>2</v>
      </c>
      <c r="I2189" s="6" t="s">
        <v>5878</v>
      </c>
      <c r="J2189" s="5">
        <v>340</v>
      </c>
    </row>
    <row r="2190" s="2" customFormat="1" spans="1:10">
      <c r="A2190" s="6">
        <f>2188</f>
        <v>2188</v>
      </c>
      <c r="B2190" s="6" t="s">
        <v>5879</v>
      </c>
      <c r="C2190" s="6" t="s">
        <v>12</v>
      </c>
      <c r="D2190" s="6" t="s">
        <v>5505</v>
      </c>
      <c r="E2190" s="6" t="s">
        <v>5795</v>
      </c>
      <c r="F2190" s="6" t="s">
        <v>5880</v>
      </c>
      <c r="G2190" s="6" t="s">
        <v>16</v>
      </c>
      <c r="H2190" s="5">
        <v>1</v>
      </c>
      <c r="I2190" s="6" t="s">
        <v>5880</v>
      </c>
      <c r="J2190" s="5">
        <v>238</v>
      </c>
    </row>
    <row r="2191" s="2" customFormat="1" spans="1:10">
      <c r="A2191" s="6">
        <f>2189</f>
        <v>2189</v>
      </c>
      <c r="B2191" s="6" t="s">
        <v>5881</v>
      </c>
      <c r="C2191" s="6" t="s">
        <v>12</v>
      </c>
      <c r="D2191" s="6" t="s">
        <v>5505</v>
      </c>
      <c r="E2191" s="6" t="s">
        <v>5795</v>
      </c>
      <c r="F2191" s="6" t="s">
        <v>5882</v>
      </c>
      <c r="G2191" s="6" t="s">
        <v>16</v>
      </c>
      <c r="H2191" s="5">
        <v>1</v>
      </c>
      <c r="I2191" s="6" t="s">
        <v>5882</v>
      </c>
      <c r="J2191" s="5">
        <v>363</v>
      </c>
    </row>
    <row r="2192" s="2" customFormat="1" spans="1:10">
      <c r="A2192" s="6">
        <f>2190</f>
        <v>2190</v>
      </c>
      <c r="B2192" s="6" t="s">
        <v>5883</v>
      </c>
      <c r="C2192" s="6" t="s">
        <v>12</v>
      </c>
      <c r="D2192" s="6" t="s">
        <v>5505</v>
      </c>
      <c r="E2192" s="6" t="s">
        <v>5795</v>
      </c>
      <c r="F2192" s="6" t="s">
        <v>5884</v>
      </c>
      <c r="G2192" s="6" t="s">
        <v>16</v>
      </c>
      <c r="H2192" s="5">
        <v>3</v>
      </c>
      <c r="I2192" s="6" t="s">
        <v>5885</v>
      </c>
      <c r="J2192" s="5">
        <v>680</v>
      </c>
    </row>
    <row r="2193" s="2" customFormat="1" spans="1:10">
      <c r="A2193" s="6">
        <f>2191</f>
        <v>2191</v>
      </c>
      <c r="B2193" s="6" t="s">
        <v>5886</v>
      </c>
      <c r="C2193" s="6" t="s">
        <v>12</v>
      </c>
      <c r="D2193" s="6" t="s">
        <v>5505</v>
      </c>
      <c r="E2193" s="6" t="s">
        <v>5795</v>
      </c>
      <c r="F2193" s="6" t="s">
        <v>5887</v>
      </c>
      <c r="G2193" s="6" t="s">
        <v>16</v>
      </c>
      <c r="H2193" s="5">
        <v>1</v>
      </c>
      <c r="I2193" s="6" t="s">
        <v>5887</v>
      </c>
      <c r="J2193" s="5">
        <v>573</v>
      </c>
    </row>
    <row r="2194" s="2" customFormat="1" spans="1:10">
      <c r="A2194" s="6">
        <f>2192</f>
        <v>2192</v>
      </c>
      <c r="B2194" s="6" t="s">
        <v>5888</v>
      </c>
      <c r="C2194" s="6" t="s">
        <v>12</v>
      </c>
      <c r="D2194" s="6" t="s">
        <v>5505</v>
      </c>
      <c r="E2194" s="6" t="s">
        <v>5795</v>
      </c>
      <c r="F2194" s="6" t="s">
        <v>5889</v>
      </c>
      <c r="G2194" s="6" t="s">
        <v>16</v>
      </c>
      <c r="H2194" s="5">
        <v>1</v>
      </c>
      <c r="I2194" s="6" t="s">
        <v>5889</v>
      </c>
      <c r="J2194" s="5">
        <v>238</v>
      </c>
    </row>
    <row r="2195" s="2" customFormat="1" spans="1:10">
      <c r="A2195" s="6">
        <f>2193</f>
        <v>2193</v>
      </c>
      <c r="B2195" s="6" t="s">
        <v>5890</v>
      </c>
      <c r="C2195" s="6" t="s">
        <v>12</v>
      </c>
      <c r="D2195" s="6" t="s">
        <v>5505</v>
      </c>
      <c r="E2195" s="6" t="s">
        <v>5795</v>
      </c>
      <c r="F2195" s="6" t="s">
        <v>5891</v>
      </c>
      <c r="G2195" s="6" t="s">
        <v>16</v>
      </c>
      <c r="H2195" s="5">
        <v>1</v>
      </c>
      <c r="I2195" s="6" t="s">
        <v>5891</v>
      </c>
      <c r="J2195" s="5">
        <v>440</v>
      </c>
    </row>
    <row r="2196" s="2" customFormat="1" spans="1:10">
      <c r="A2196" s="6">
        <f>2194</f>
        <v>2194</v>
      </c>
      <c r="B2196" s="6" t="s">
        <v>5892</v>
      </c>
      <c r="C2196" s="6" t="s">
        <v>12</v>
      </c>
      <c r="D2196" s="6" t="s">
        <v>5505</v>
      </c>
      <c r="E2196" s="6" t="s">
        <v>5795</v>
      </c>
      <c r="F2196" s="6" t="s">
        <v>5893</v>
      </c>
      <c r="G2196" s="6" t="s">
        <v>16</v>
      </c>
      <c r="H2196" s="5">
        <v>1</v>
      </c>
      <c r="I2196" s="6" t="s">
        <v>5893</v>
      </c>
      <c r="J2196" s="5">
        <v>368</v>
      </c>
    </row>
    <row r="2197" s="2" customFormat="1" spans="1:10">
      <c r="A2197" s="6">
        <f>2195</f>
        <v>2195</v>
      </c>
      <c r="B2197" s="6" t="s">
        <v>5894</v>
      </c>
      <c r="C2197" s="6" t="s">
        <v>12</v>
      </c>
      <c r="D2197" s="6" t="s">
        <v>5505</v>
      </c>
      <c r="E2197" s="6" t="s">
        <v>5795</v>
      </c>
      <c r="F2197" s="6" t="s">
        <v>5895</v>
      </c>
      <c r="G2197" s="6" t="s">
        <v>16</v>
      </c>
      <c r="H2197" s="5">
        <v>2</v>
      </c>
      <c r="I2197" s="6" t="s">
        <v>5896</v>
      </c>
      <c r="J2197" s="5">
        <v>560</v>
      </c>
    </row>
    <row r="2198" s="2" customFormat="1" spans="1:10">
      <c r="A2198" s="6">
        <f>2196</f>
        <v>2196</v>
      </c>
      <c r="B2198" s="6" t="s">
        <v>5897</v>
      </c>
      <c r="C2198" s="6" t="s">
        <v>12</v>
      </c>
      <c r="D2198" s="6" t="s">
        <v>5505</v>
      </c>
      <c r="E2198" s="6" t="s">
        <v>5795</v>
      </c>
      <c r="F2198" s="6" t="s">
        <v>1414</v>
      </c>
      <c r="G2198" s="6" t="s">
        <v>16</v>
      </c>
      <c r="H2198" s="5">
        <v>2</v>
      </c>
      <c r="I2198" s="6" t="s">
        <v>5898</v>
      </c>
      <c r="J2198" s="5">
        <v>1146</v>
      </c>
    </row>
    <row r="2199" s="2" customFormat="1" spans="1:10">
      <c r="A2199" s="6">
        <f>2197</f>
        <v>2197</v>
      </c>
      <c r="B2199" s="6" t="s">
        <v>5899</v>
      </c>
      <c r="C2199" s="6" t="s">
        <v>12</v>
      </c>
      <c r="D2199" s="6" t="s">
        <v>5505</v>
      </c>
      <c r="E2199" s="6" t="s">
        <v>5795</v>
      </c>
      <c r="F2199" s="6" t="s">
        <v>5900</v>
      </c>
      <c r="G2199" s="6" t="s">
        <v>16</v>
      </c>
      <c r="H2199" s="5">
        <v>2</v>
      </c>
      <c r="I2199" s="6" t="s">
        <v>5901</v>
      </c>
      <c r="J2199" s="5">
        <v>920</v>
      </c>
    </row>
    <row r="2200" s="2" customFormat="1" spans="1:10">
      <c r="A2200" s="6">
        <f>2198</f>
        <v>2198</v>
      </c>
      <c r="B2200" s="6" t="s">
        <v>5902</v>
      </c>
      <c r="C2200" s="6" t="s">
        <v>12</v>
      </c>
      <c r="D2200" s="6" t="s">
        <v>5505</v>
      </c>
      <c r="E2200" s="6" t="s">
        <v>5795</v>
      </c>
      <c r="F2200" s="6" t="s">
        <v>5903</v>
      </c>
      <c r="G2200" s="6" t="s">
        <v>16</v>
      </c>
      <c r="H2200" s="5">
        <v>1</v>
      </c>
      <c r="I2200" s="6" t="s">
        <v>5903</v>
      </c>
      <c r="J2200" s="5">
        <v>215</v>
      </c>
    </row>
    <row r="2201" s="2" customFormat="1" spans="1:10">
      <c r="A2201" s="6">
        <f>2199</f>
        <v>2199</v>
      </c>
      <c r="B2201" s="6" t="s">
        <v>5904</v>
      </c>
      <c r="C2201" s="6" t="s">
        <v>12</v>
      </c>
      <c r="D2201" s="6" t="s">
        <v>5505</v>
      </c>
      <c r="E2201" s="6" t="s">
        <v>5795</v>
      </c>
      <c r="F2201" s="6" t="s">
        <v>5905</v>
      </c>
      <c r="G2201" s="6" t="s">
        <v>16</v>
      </c>
      <c r="H2201" s="5">
        <v>2</v>
      </c>
      <c r="I2201" s="6" t="s">
        <v>5906</v>
      </c>
      <c r="J2201" s="5">
        <v>624</v>
      </c>
    </row>
    <row r="2202" s="2" customFormat="1" spans="1:10">
      <c r="A2202" s="6">
        <f>2200</f>
        <v>2200</v>
      </c>
      <c r="B2202" s="6" t="s">
        <v>5907</v>
      </c>
      <c r="C2202" s="6" t="s">
        <v>12</v>
      </c>
      <c r="D2202" s="6" t="s">
        <v>5505</v>
      </c>
      <c r="E2202" s="6" t="s">
        <v>5795</v>
      </c>
      <c r="F2202" s="6" t="s">
        <v>5908</v>
      </c>
      <c r="G2202" s="6" t="s">
        <v>16</v>
      </c>
      <c r="H2202" s="5">
        <v>2</v>
      </c>
      <c r="I2202" s="6" t="s">
        <v>5909</v>
      </c>
      <c r="J2202" s="5">
        <v>574</v>
      </c>
    </row>
    <row r="2203" s="2" customFormat="1" spans="1:10">
      <c r="A2203" s="6">
        <f>2201</f>
        <v>2201</v>
      </c>
      <c r="B2203" s="6" t="s">
        <v>5910</v>
      </c>
      <c r="C2203" s="6" t="s">
        <v>12</v>
      </c>
      <c r="D2203" s="6" t="s">
        <v>5505</v>
      </c>
      <c r="E2203" s="6" t="s">
        <v>5795</v>
      </c>
      <c r="F2203" s="6" t="s">
        <v>5911</v>
      </c>
      <c r="G2203" s="6" t="s">
        <v>16</v>
      </c>
      <c r="H2203" s="5">
        <v>2</v>
      </c>
      <c r="I2203" s="6" t="s">
        <v>5912</v>
      </c>
      <c r="J2203" s="5">
        <v>920</v>
      </c>
    </row>
    <row r="2204" s="2" customFormat="1" spans="1:10">
      <c r="A2204" s="6">
        <f>2202</f>
        <v>2202</v>
      </c>
      <c r="B2204" s="6" t="s">
        <v>5913</v>
      </c>
      <c r="C2204" s="6" t="s">
        <v>12</v>
      </c>
      <c r="D2204" s="6" t="s">
        <v>5505</v>
      </c>
      <c r="E2204" s="6" t="s">
        <v>5795</v>
      </c>
      <c r="F2204" s="6" t="s">
        <v>5914</v>
      </c>
      <c r="G2204" s="6" t="s">
        <v>16</v>
      </c>
      <c r="H2204" s="5">
        <v>1</v>
      </c>
      <c r="I2204" s="6" t="s">
        <v>5914</v>
      </c>
      <c r="J2204" s="5">
        <v>268</v>
      </c>
    </row>
    <row r="2205" s="2" customFormat="1" spans="1:10">
      <c r="A2205" s="6">
        <f>2203</f>
        <v>2203</v>
      </c>
      <c r="B2205" s="6" t="s">
        <v>5915</v>
      </c>
      <c r="C2205" s="6" t="s">
        <v>12</v>
      </c>
      <c r="D2205" s="6" t="s">
        <v>5505</v>
      </c>
      <c r="E2205" s="6" t="s">
        <v>5795</v>
      </c>
      <c r="F2205" s="6" t="s">
        <v>5916</v>
      </c>
      <c r="G2205" s="6" t="s">
        <v>16</v>
      </c>
      <c r="H2205" s="5">
        <v>2</v>
      </c>
      <c r="I2205" s="6" t="s">
        <v>5917</v>
      </c>
      <c r="J2205" s="5">
        <v>760</v>
      </c>
    </row>
    <row r="2206" s="2" customFormat="1" spans="1:10">
      <c r="A2206" s="6">
        <f>2204</f>
        <v>2204</v>
      </c>
      <c r="B2206" s="6" t="s">
        <v>5918</v>
      </c>
      <c r="C2206" s="6" t="s">
        <v>12</v>
      </c>
      <c r="D2206" s="6" t="s">
        <v>5505</v>
      </c>
      <c r="E2206" s="6" t="s">
        <v>5795</v>
      </c>
      <c r="F2206" s="6" t="s">
        <v>5919</v>
      </c>
      <c r="G2206" s="6" t="s">
        <v>16</v>
      </c>
      <c r="H2206" s="5">
        <v>2</v>
      </c>
      <c r="I2206" s="6" t="s">
        <v>5920</v>
      </c>
      <c r="J2206" s="5">
        <v>553</v>
      </c>
    </row>
    <row r="2207" s="2" customFormat="1" spans="1:10">
      <c r="A2207" s="6">
        <f>2205</f>
        <v>2205</v>
      </c>
      <c r="B2207" s="6" t="s">
        <v>5921</v>
      </c>
      <c r="C2207" s="6" t="s">
        <v>12</v>
      </c>
      <c r="D2207" s="6" t="s">
        <v>5505</v>
      </c>
      <c r="E2207" s="6" t="s">
        <v>5795</v>
      </c>
      <c r="F2207" s="6" t="s">
        <v>5922</v>
      </c>
      <c r="G2207" s="6" t="s">
        <v>16</v>
      </c>
      <c r="H2207" s="5">
        <v>2</v>
      </c>
      <c r="I2207" s="6" t="s">
        <v>5923</v>
      </c>
      <c r="J2207" s="5">
        <v>1146</v>
      </c>
    </row>
    <row r="2208" s="2" customFormat="1" spans="1:10">
      <c r="A2208" s="6">
        <f>2206</f>
        <v>2206</v>
      </c>
      <c r="B2208" s="6" t="s">
        <v>5924</v>
      </c>
      <c r="C2208" s="6" t="s">
        <v>12</v>
      </c>
      <c r="D2208" s="6" t="s">
        <v>5505</v>
      </c>
      <c r="E2208" s="6" t="s">
        <v>5795</v>
      </c>
      <c r="F2208" s="6" t="s">
        <v>5925</v>
      </c>
      <c r="G2208" s="6" t="s">
        <v>16</v>
      </c>
      <c r="H2208" s="5">
        <v>1</v>
      </c>
      <c r="I2208" s="6" t="s">
        <v>5925</v>
      </c>
      <c r="J2208" s="5">
        <v>265</v>
      </c>
    </row>
    <row r="2209" s="2" customFormat="1" spans="1:10">
      <c r="A2209" s="6">
        <f>2207</f>
        <v>2207</v>
      </c>
      <c r="B2209" s="6" t="s">
        <v>5926</v>
      </c>
      <c r="C2209" s="6" t="s">
        <v>12</v>
      </c>
      <c r="D2209" s="6" t="s">
        <v>5505</v>
      </c>
      <c r="E2209" s="6" t="s">
        <v>5795</v>
      </c>
      <c r="F2209" s="6" t="s">
        <v>5927</v>
      </c>
      <c r="G2209" s="6" t="s">
        <v>16</v>
      </c>
      <c r="H2209" s="5">
        <v>3</v>
      </c>
      <c r="I2209" s="6" t="s">
        <v>5928</v>
      </c>
      <c r="J2209" s="5">
        <v>530</v>
      </c>
    </row>
    <row r="2210" s="2" customFormat="1" spans="1:10">
      <c r="A2210" s="6">
        <f>2208</f>
        <v>2208</v>
      </c>
      <c r="B2210" s="6" t="s">
        <v>5929</v>
      </c>
      <c r="C2210" s="6" t="s">
        <v>12</v>
      </c>
      <c r="D2210" s="6" t="s">
        <v>5505</v>
      </c>
      <c r="E2210" s="6" t="s">
        <v>5795</v>
      </c>
      <c r="F2210" s="6" t="s">
        <v>5930</v>
      </c>
      <c r="G2210" s="6" t="s">
        <v>16</v>
      </c>
      <c r="H2210" s="5">
        <v>1</v>
      </c>
      <c r="I2210" s="6" t="s">
        <v>5930</v>
      </c>
      <c r="J2210" s="5">
        <v>540</v>
      </c>
    </row>
    <row r="2211" s="2" customFormat="1" ht="27" spans="1:10">
      <c r="A2211" s="6">
        <f>2209</f>
        <v>2209</v>
      </c>
      <c r="B2211" s="6" t="s">
        <v>5931</v>
      </c>
      <c r="C2211" s="6" t="s">
        <v>12</v>
      </c>
      <c r="D2211" s="6" t="s">
        <v>5505</v>
      </c>
      <c r="E2211" s="6" t="s">
        <v>5795</v>
      </c>
      <c r="F2211" s="6" t="s">
        <v>5932</v>
      </c>
      <c r="G2211" s="6" t="s">
        <v>16</v>
      </c>
      <c r="H2211" s="5">
        <v>4</v>
      </c>
      <c r="I2211" s="6" t="s">
        <v>5933</v>
      </c>
      <c r="J2211" s="5">
        <v>800</v>
      </c>
    </row>
    <row r="2212" s="2" customFormat="1" spans="1:10">
      <c r="A2212" s="6">
        <f>2210</f>
        <v>2210</v>
      </c>
      <c r="B2212" s="6" t="s">
        <v>5934</v>
      </c>
      <c r="C2212" s="6" t="s">
        <v>12</v>
      </c>
      <c r="D2212" s="6" t="s">
        <v>5505</v>
      </c>
      <c r="E2212" s="6" t="s">
        <v>5795</v>
      </c>
      <c r="F2212" s="6" t="s">
        <v>5935</v>
      </c>
      <c r="G2212" s="6" t="s">
        <v>16</v>
      </c>
      <c r="H2212" s="5">
        <v>1</v>
      </c>
      <c r="I2212" s="6" t="s">
        <v>5935</v>
      </c>
      <c r="J2212" s="5">
        <v>267</v>
      </c>
    </row>
    <row r="2213" s="2" customFormat="1" ht="27" spans="1:10">
      <c r="A2213" s="6">
        <f>2211</f>
        <v>2211</v>
      </c>
      <c r="B2213" s="6" t="s">
        <v>5936</v>
      </c>
      <c r="C2213" s="6" t="s">
        <v>12</v>
      </c>
      <c r="D2213" s="6" t="s">
        <v>5505</v>
      </c>
      <c r="E2213" s="6" t="s">
        <v>5795</v>
      </c>
      <c r="F2213" s="6" t="s">
        <v>5937</v>
      </c>
      <c r="G2213" s="6" t="s">
        <v>16</v>
      </c>
      <c r="H2213" s="5">
        <v>5</v>
      </c>
      <c r="I2213" s="6" t="s">
        <v>5938</v>
      </c>
      <c r="J2213" s="5">
        <v>1600</v>
      </c>
    </row>
    <row r="2214" s="2" customFormat="1" spans="1:10">
      <c r="A2214" s="6">
        <f>2212</f>
        <v>2212</v>
      </c>
      <c r="B2214" s="6" t="s">
        <v>5939</v>
      </c>
      <c r="C2214" s="6" t="s">
        <v>12</v>
      </c>
      <c r="D2214" s="6" t="s">
        <v>5505</v>
      </c>
      <c r="E2214" s="6" t="s">
        <v>5795</v>
      </c>
      <c r="F2214" s="6" t="s">
        <v>5940</v>
      </c>
      <c r="G2214" s="6" t="s">
        <v>16</v>
      </c>
      <c r="H2214" s="5">
        <v>2</v>
      </c>
      <c r="I2214" s="6" t="s">
        <v>5941</v>
      </c>
      <c r="J2214" s="5">
        <v>520</v>
      </c>
    </row>
    <row r="2215" s="2" customFormat="1" spans="1:10">
      <c r="A2215" s="6">
        <f>2213</f>
        <v>2213</v>
      </c>
      <c r="B2215" s="6" t="s">
        <v>5942</v>
      </c>
      <c r="C2215" s="6" t="s">
        <v>12</v>
      </c>
      <c r="D2215" s="6" t="s">
        <v>5505</v>
      </c>
      <c r="E2215" s="6" t="s">
        <v>5795</v>
      </c>
      <c r="F2215" s="6" t="s">
        <v>5943</v>
      </c>
      <c r="G2215" s="6" t="s">
        <v>16</v>
      </c>
      <c r="H2215" s="5">
        <v>2</v>
      </c>
      <c r="I2215" s="6" t="s">
        <v>5944</v>
      </c>
      <c r="J2215" s="5">
        <v>466</v>
      </c>
    </row>
    <row r="2216" s="2" customFormat="1" spans="1:10">
      <c r="A2216" s="6">
        <f>2214</f>
        <v>2214</v>
      </c>
      <c r="B2216" s="6" t="s">
        <v>5945</v>
      </c>
      <c r="C2216" s="6" t="s">
        <v>12</v>
      </c>
      <c r="D2216" s="6" t="s">
        <v>5505</v>
      </c>
      <c r="E2216" s="6" t="s">
        <v>5795</v>
      </c>
      <c r="F2216" s="6" t="s">
        <v>5946</v>
      </c>
      <c r="G2216" s="6" t="s">
        <v>16</v>
      </c>
      <c r="H2216" s="5">
        <v>1</v>
      </c>
      <c r="I2216" s="6" t="s">
        <v>5946</v>
      </c>
      <c r="J2216" s="5">
        <v>288</v>
      </c>
    </row>
    <row r="2217" s="2" customFormat="1" spans="1:10">
      <c r="A2217" s="6">
        <f>2215</f>
        <v>2215</v>
      </c>
      <c r="B2217" s="6" t="s">
        <v>5947</v>
      </c>
      <c r="C2217" s="6" t="s">
        <v>12</v>
      </c>
      <c r="D2217" s="6" t="s">
        <v>5505</v>
      </c>
      <c r="E2217" s="6" t="s">
        <v>5795</v>
      </c>
      <c r="F2217" s="6" t="s">
        <v>5948</v>
      </c>
      <c r="G2217" s="6" t="s">
        <v>16</v>
      </c>
      <c r="H2217" s="5">
        <v>3</v>
      </c>
      <c r="I2217" s="6" t="s">
        <v>5949</v>
      </c>
      <c r="J2217" s="5">
        <v>600</v>
      </c>
    </row>
    <row r="2218" s="2" customFormat="1" spans="1:10">
      <c r="A2218" s="6">
        <f>2216</f>
        <v>2216</v>
      </c>
      <c r="B2218" s="6" t="s">
        <v>5950</v>
      </c>
      <c r="C2218" s="6" t="s">
        <v>12</v>
      </c>
      <c r="D2218" s="6" t="s">
        <v>5505</v>
      </c>
      <c r="E2218" s="6" t="s">
        <v>5795</v>
      </c>
      <c r="F2218" s="6" t="s">
        <v>5951</v>
      </c>
      <c r="G2218" s="6" t="s">
        <v>16</v>
      </c>
      <c r="H2218" s="5">
        <v>1</v>
      </c>
      <c r="I2218" s="6" t="s">
        <v>5951</v>
      </c>
      <c r="J2218" s="5">
        <v>238</v>
      </c>
    </row>
    <row r="2219" s="2" customFormat="1" spans="1:10">
      <c r="A2219" s="6">
        <f>2217</f>
        <v>2217</v>
      </c>
      <c r="B2219" s="6" t="s">
        <v>5952</v>
      </c>
      <c r="C2219" s="6" t="s">
        <v>12</v>
      </c>
      <c r="D2219" s="6" t="s">
        <v>5505</v>
      </c>
      <c r="E2219" s="6" t="s">
        <v>5795</v>
      </c>
      <c r="F2219" s="6" t="s">
        <v>5953</v>
      </c>
      <c r="G2219" s="6" t="s">
        <v>16</v>
      </c>
      <c r="H2219" s="5">
        <v>1</v>
      </c>
      <c r="I2219" s="6" t="s">
        <v>5953</v>
      </c>
      <c r="J2219" s="5">
        <v>238</v>
      </c>
    </row>
    <row r="2220" s="2" customFormat="1" ht="27" spans="1:10">
      <c r="A2220" s="6">
        <f>2218</f>
        <v>2218</v>
      </c>
      <c r="B2220" s="6" t="s">
        <v>5954</v>
      </c>
      <c r="C2220" s="6" t="s">
        <v>12</v>
      </c>
      <c r="D2220" s="6" t="s">
        <v>5505</v>
      </c>
      <c r="E2220" s="6" t="s">
        <v>5795</v>
      </c>
      <c r="F2220" s="6" t="s">
        <v>5955</v>
      </c>
      <c r="G2220" s="6" t="s">
        <v>16</v>
      </c>
      <c r="H2220" s="5">
        <v>5</v>
      </c>
      <c r="I2220" s="6" t="s">
        <v>5956</v>
      </c>
      <c r="J2220" s="5">
        <v>1075</v>
      </c>
    </row>
    <row r="2221" s="2" customFormat="1" spans="1:10">
      <c r="A2221" s="6">
        <f>2219</f>
        <v>2219</v>
      </c>
      <c r="B2221" s="6" t="s">
        <v>5957</v>
      </c>
      <c r="C2221" s="6" t="s">
        <v>12</v>
      </c>
      <c r="D2221" s="6" t="s">
        <v>5505</v>
      </c>
      <c r="E2221" s="6" t="s">
        <v>5795</v>
      </c>
      <c r="F2221" s="6" t="s">
        <v>5958</v>
      </c>
      <c r="G2221" s="6" t="s">
        <v>16</v>
      </c>
      <c r="H2221" s="5">
        <v>1</v>
      </c>
      <c r="I2221" s="6" t="s">
        <v>5958</v>
      </c>
      <c r="J2221" s="5">
        <v>460</v>
      </c>
    </row>
    <row r="2222" s="2" customFormat="1" spans="1:10">
      <c r="A2222" s="6">
        <f>2220</f>
        <v>2220</v>
      </c>
      <c r="B2222" s="6" t="s">
        <v>5959</v>
      </c>
      <c r="C2222" s="6" t="s">
        <v>12</v>
      </c>
      <c r="D2222" s="6" t="s">
        <v>5505</v>
      </c>
      <c r="E2222" s="6" t="s">
        <v>5795</v>
      </c>
      <c r="F2222" s="6" t="s">
        <v>5960</v>
      </c>
      <c r="G2222" s="6" t="s">
        <v>16</v>
      </c>
      <c r="H2222" s="5">
        <v>1</v>
      </c>
      <c r="I2222" s="6" t="s">
        <v>5960</v>
      </c>
      <c r="J2222" s="5">
        <v>288</v>
      </c>
    </row>
    <row r="2223" s="2" customFormat="1" spans="1:10">
      <c r="A2223" s="6">
        <f>2221</f>
        <v>2221</v>
      </c>
      <c r="B2223" s="6" t="s">
        <v>5961</v>
      </c>
      <c r="C2223" s="6" t="s">
        <v>12</v>
      </c>
      <c r="D2223" s="6" t="s">
        <v>5505</v>
      </c>
      <c r="E2223" s="6" t="s">
        <v>5795</v>
      </c>
      <c r="F2223" s="6" t="s">
        <v>5962</v>
      </c>
      <c r="G2223" s="6" t="s">
        <v>16</v>
      </c>
      <c r="H2223" s="5">
        <v>3</v>
      </c>
      <c r="I2223" s="6" t="s">
        <v>5963</v>
      </c>
      <c r="J2223" s="5">
        <v>620</v>
      </c>
    </row>
    <row r="2224" s="2" customFormat="1" spans="1:10">
      <c r="A2224" s="6">
        <f>2222</f>
        <v>2222</v>
      </c>
      <c r="B2224" s="6" t="s">
        <v>5964</v>
      </c>
      <c r="C2224" s="6" t="s">
        <v>12</v>
      </c>
      <c r="D2224" s="6" t="s">
        <v>5505</v>
      </c>
      <c r="E2224" s="6" t="s">
        <v>5795</v>
      </c>
      <c r="F2224" s="6" t="s">
        <v>5965</v>
      </c>
      <c r="G2224" s="6" t="s">
        <v>16</v>
      </c>
      <c r="H2224" s="5">
        <v>1</v>
      </c>
      <c r="I2224" s="6" t="s">
        <v>5965</v>
      </c>
      <c r="J2224" s="5">
        <v>288</v>
      </c>
    </row>
    <row r="2225" s="2" customFormat="1" spans="1:10">
      <c r="A2225" s="6">
        <f>2223</f>
        <v>2223</v>
      </c>
      <c r="B2225" s="6" t="s">
        <v>5966</v>
      </c>
      <c r="C2225" s="6" t="s">
        <v>12</v>
      </c>
      <c r="D2225" s="6" t="s">
        <v>5505</v>
      </c>
      <c r="E2225" s="6" t="s">
        <v>5795</v>
      </c>
      <c r="F2225" s="6" t="s">
        <v>5967</v>
      </c>
      <c r="G2225" s="6" t="s">
        <v>16</v>
      </c>
      <c r="H2225" s="5">
        <v>1</v>
      </c>
      <c r="I2225" s="6" t="s">
        <v>5967</v>
      </c>
      <c r="J2225" s="5">
        <v>360</v>
      </c>
    </row>
    <row r="2226" s="2" customFormat="1" spans="1:10">
      <c r="A2226" s="6">
        <f>2224</f>
        <v>2224</v>
      </c>
      <c r="B2226" s="6" t="s">
        <v>5968</v>
      </c>
      <c r="C2226" s="6" t="s">
        <v>12</v>
      </c>
      <c r="D2226" s="6" t="s">
        <v>5505</v>
      </c>
      <c r="E2226" s="6" t="s">
        <v>5795</v>
      </c>
      <c r="F2226" s="6" t="s">
        <v>5969</v>
      </c>
      <c r="G2226" s="6" t="s">
        <v>16</v>
      </c>
      <c r="H2226" s="5">
        <v>1</v>
      </c>
      <c r="I2226" s="6" t="s">
        <v>5969</v>
      </c>
      <c r="J2226" s="5">
        <v>360</v>
      </c>
    </row>
    <row r="2227" s="2" customFormat="1" spans="1:10">
      <c r="A2227" s="6">
        <f>2225</f>
        <v>2225</v>
      </c>
      <c r="B2227" s="6" t="s">
        <v>5970</v>
      </c>
      <c r="C2227" s="6" t="s">
        <v>12</v>
      </c>
      <c r="D2227" s="6" t="s">
        <v>5505</v>
      </c>
      <c r="E2227" s="6" t="s">
        <v>5795</v>
      </c>
      <c r="F2227" s="6" t="s">
        <v>5971</v>
      </c>
      <c r="G2227" s="6" t="s">
        <v>16</v>
      </c>
      <c r="H2227" s="5">
        <v>1</v>
      </c>
      <c r="I2227" s="6" t="s">
        <v>5971</v>
      </c>
      <c r="J2227" s="5">
        <v>238</v>
      </c>
    </row>
    <row r="2228" s="2" customFormat="1" spans="1:10">
      <c r="A2228" s="6">
        <f>2226</f>
        <v>2226</v>
      </c>
      <c r="B2228" s="6" t="s">
        <v>5972</v>
      </c>
      <c r="C2228" s="6" t="s">
        <v>12</v>
      </c>
      <c r="D2228" s="6" t="s">
        <v>5505</v>
      </c>
      <c r="E2228" s="6" t="s">
        <v>5795</v>
      </c>
      <c r="F2228" s="6" t="s">
        <v>5973</v>
      </c>
      <c r="G2228" s="6" t="s">
        <v>16</v>
      </c>
      <c r="H2228" s="5">
        <v>2</v>
      </c>
      <c r="I2228" s="6" t="s">
        <v>5974</v>
      </c>
      <c r="J2228" s="5">
        <v>556</v>
      </c>
    </row>
    <row r="2229" s="2" customFormat="1" ht="27" spans="1:10">
      <c r="A2229" s="6">
        <f>2227</f>
        <v>2227</v>
      </c>
      <c r="B2229" s="6" t="s">
        <v>5975</v>
      </c>
      <c r="C2229" s="6" t="s">
        <v>12</v>
      </c>
      <c r="D2229" s="6" t="s">
        <v>5505</v>
      </c>
      <c r="E2229" s="6" t="s">
        <v>5795</v>
      </c>
      <c r="F2229" s="6" t="s">
        <v>5976</v>
      </c>
      <c r="G2229" s="6" t="s">
        <v>16</v>
      </c>
      <c r="H2229" s="5">
        <v>4</v>
      </c>
      <c r="I2229" s="6" t="s">
        <v>5977</v>
      </c>
      <c r="J2229" s="5">
        <v>1760</v>
      </c>
    </row>
    <row r="2230" s="2" customFormat="1" spans="1:10">
      <c r="A2230" s="6">
        <f>2228</f>
        <v>2228</v>
      </c>
      <c r="B2230" s="6" t="s">
        <v>5978</v>
      </c>
      <c r="C2230" s="6" t="s">
        <v>12</v>
      </c>
      <c r="D2230" s="6" t="s">
        <v>5505</v>
      </c>
      <c r="E2230" s="6" t="s">
        <v>5795</v>
      </c>
      <c r="F2230" s="6" t="s">
        <v>3923</v>
      </c>
      <c r="G2230" s="6" t="s">
        <v>16</v>
      </c>
      <c r="H2230" s="5">
        <v>1</v>
      </c>
      <c r="I2230" s="6" t="s">
        <v>3923</v>
      </c>
      <c r="J2230" s="5">
        <v>238</v>
      </c>
    </row>
    <row r="2231" s="2" customFormat="1" spans="1:10">
      <c r="A2231" s="6">
        <f>2229</f>
        <v>2229</v>
      </c>
      <c r="B2231" s="6" t="s">
        <v>5979</v>
      </c>
      <c r="C2231" s="6" t="s">
        <v>12</v>
      </c>
      <c r="D2231" s="6" t="s">
        <v>5505</v>
      </c>
      <c r="E2231" s="6" t="s">
        <v>5795</v>
      </c>
      <c r="F2231" s="6" t="s">
        <v>5980</v>
      </c>
      <c r="G2231" s="6" t="s">
        <v>16</v>
      </c>
      <c r="H2231" s="5">
        <v>2</v>
      </c>
      <c r="I2231" s="6" t="s">
        <v>5981</v>
      </c>
      <c r="J2231" s="5">
        <v>668</v>
      </c>
    </row>
    <row r="2232" s="2" customFormat="1" spans="1:10">
      <c r="A2232" s="6">
        <f>2230</f>
        <v>2230</v>
      </c>
      <c r="B2232" s="6" t="s">
        <v>5982</v>
      </c>
      <c r="C2232" s="6" t="s">
        <v>12</v>
      </c>
      <c r="D2232" s="6" t="s">
        <v>5505</v>
      </c>
      <c r="E2232" s="6" t="s">
        <v>5795</v>
      </c>
      <c r="F2232" s="6" t="s">
        <v>5983</v>
      </c>
      <c r="G2232" s="6" t="s">
        <v>16</v>
      </c>
      <c r="H2232" s="5">
        <v>1</v>
      </c>
      <c r="I2232" s="6" t="s">
        <v>5983</v>
      </c>
      <c r="J2232" s="5">
        <v>238</v>
      </c>
    </row>
    <row r="2233" s="2" customFormat="1" spans="1:10">
      <c r="A2233" s="6">
        <f>2231</f>
        <v>2231</v>
      </c>
      <c r="B2233" s="6" t="s">
        <v>5984</v>
      </c>
      <c r="C2233" s="6" t="s">
        <v>12</v>
      </c>
      <c r="D2233" s="6" t="s">
        <v>5505</v>
      </c>
      <c r="E2233" s="6" t="s">
        <v>5795</v>
      </c>
      <c r="F2233" s="6" t="s">
        <v>5985</v>
      </c>
      <c r="G2233" s="6" t="s">
        <v>16</v>
      </c>
      <c r="H2233" s="5">
        <v>1</v>
      </c>
      <c r="I2233" s="6" t="s">
        <v>5985</v>
      </c>
      <c r="J2233" s="5">
        <v>238</v>
      </c>
    </row>
    <row r="2234" s="2" customFormat="1" spans="1:10">
      <c r="A2234" s="6">
        <f>2232</f>
        <v>2232</v>
      </c>
      <c r="B2234" s="6" t="s">
        <v>5986</v>
      </c>
      <c r="C2234" s="6" t="s">
        <v>12</v>
      </c>
      <c r="D2234" s="6" t="s">
        <v>5505</v>
      </c>
      <c r="E2234" s="6" t="s">
        <v>5987</v>
      </c>
      <c r="F2234" s="6" t="s">
        <v>5988</v>
      </c>
      <c r="G2234" s="6" t="s">
        <v>16</v>
      </c>
      <c r="H2234" s="5">
        <v>2</v>
      </c>
      <c r="I2234" s="6" t="s">
        <v>5989</v>
      </c>
      <c r="J2234" s="5">
        <v>1100</v>
      </c>
    </row>
    <row r="2235" s="2" customFormat="1" spans="1:10">
      <c r="A2235" s="6">
        <f>2233</f>
        <v>2233</v>
      </c>
      <c r="B2235" s="6" t="s">
        <v>5990</v>
      </c>
      <c r="C2235" s="6" t="s">
        <v>12</v>
      </c>
      <c r="D2235" s="6" t="s">
        <v>5505</v>
      </c>
      <c r="E2235" s="6" t="s">
        <v>5987</v>
      </c>
      <c r="F2235" s="6" t="s">
        <v>5991</v>
      </c>
      <c r="G2235" s="6" t="s">
        <v>16</v>
      </c>
      <c r="H2235" s="5">
        <v>3</v>
      </c>
      <c r="I2235" s="6" t="s">
        <v>5992</v>
      </c>
      <c r="J2235" s="5">
        <v>1400</v>
      </c>
    </row>
    <row r="2236" s="2" customFormat="1" spans="1:10">
      <c r="A2236" s="6">
        <f>2234</f>
        <v>2234</v>
      </c>
      <c r="B2236" s="6" t="s">
        <v>5993</v>
      </c>
      <c r="C2236" s="6" t="s">
        <v>12</v>
      </c>
      <c r="D2236" s="6" t="s">
        <v>5505</v>
      </c>
      <c r="E2236" s="6" t="s">
        <v>5987</v>
      </c>
      <c r="F2236" s="6" t="s">
        <v>5994</v>
      </c>
      <c r="G2236" s="6" t="s">
        <v>16</v>
      </c>
      <c r="H2236" s="5">
        <v>1</v>
      </c>
      <c r="I2236" s="6" t="s">
        <v>5994</v>
      </c>
      <c r="J2236" s="5">
        <v>240</v>
      </c>
    </row>
    <row r="2237" s="2" customFormat="1" spans="1:10">
      <c r="A2237" s="6">
        <f>2235</f>
        <v>2235</v>
      </c>
      <c r="B2237" s="6" t="s">
        <v>5995</v>
      </c>
      <c r="C2237" s="6" t="s">
        <v>12</v>
      </c>
      <c r="D2237" s="6" t="s">
        <v>5505</v>
      </c>
      <c r="E2237" s="6" t="s">
        <v>5987</v>
      </c>
      <c r="F2237" s="6" t="s">
        <v>5996</v>
      </c>
      <c r="G2237" s="6" t="s">
        <v>16</v>
      </c>
      <c r="H2237" s="5">
        <v>3</v>
      </c>
      <c r="I2237" s="6" t="s">
        <v>5997</v>
      </c>
      <c r="J2237" s="5">
        <v>1020</v>
      </c>
    </row>
    <row r="2238" s="2" customFormat="1" ht="27" spans="1:10">
      <c r="A2238" s="6">
        <f>2236</f>
        <v>2236</v>
      </c>
      <c r="B2238" s="6" t="s">
        <v>5998</v>
      </c>
      <c r="C2238" s="6" t="s">
        <v>12</v>
      </c>
      <c r="D2238" s="6" t="s">
        <v>5505</v>
      </c>
      <c r="E2238" s="6" t="s">
        <v>5987</v>
      </c>
      <c r="F2238" s="6" t="s">
        <v>5999</v>
      </c>
      <c r="G2238" s="6" t="s">
        <v>16</v>
      </c>
      <c r="H2238" s="5">
        <v>4</v>
      </c>
      <c r="I2238" s="6" t="s">
        <v>6000</v>
      </c>
      <c r="J2238" s="5">
        <v>1120</v>
      </c>
    </row>
    <row r="2239" s="2" customFormat="1" spans="1:10">
      <c r="A2239" s="6">
        <f>2237</f>
        <v>2237</v>
      </c>
      <c r="B2239" s="6" t="s">
        <v>6001</v>
      </c>
      <c r="C2239" s="6" t="s">
        <v>12</v>
      </c>
      <c r="D2239" s="6" t="s">
        <v>5505</v>
      </c>
      <c r="E2239" s="6" t="s">
        <v>5987</v>
      </c>
      <c r="F2239" s="6" t="s">
        <v>6002</v>
      </c>
      <c r="G2239" s="6" t="s">
        <v>16</v>
      </c>
      <c r="H2239" s="5">
        <v>3</v>
      </c>
      <c r="I2239" s="6" t="s">
        <v>6003</v>
      </c>
      <c r="J2239" s="5">
        <v>1280</v>
      </c>
    </row>
    <row r="2240" s="2" customFormat="1" spans="1:10">
      <c r="A2240" s="6">
        <f>2238</f>
        <v>2238</v>
      </c>
      <c r="B2240" s="6" t="s">
        <v>6004</v>
      </c>
      <c r="C2240" s="6" t="s">
        <v>12</v>
      </c>
      <c r="D2240" s="6" t="s">
        <v>5505</v>
      </c>
      <c r="E2240" s="6" t="s">
        <v>5987</v>
      </c>
      <c r="F2240" s="6" t="s">
        <v>6005</v>
      </c>
      <c r="G2240" s="6" t="s">
        <v>16</v>
      </c>
      <c r="H2240" s="5">
        <v>2</v>
      </c>
      <c r="I2240" s="6" t="s">
        <v>6006</v>
      </c>
      <c r="J2240" s="5">
        <v>670</v>
      </c>
    </row>
    <row r="2241" s="2" customFormat="1" spans="1:10">
      <c r="A2241" s="6">
        <f>2239</f>
        <v>2239</v>
      </c>
      <c r="B2241" s="6" t="s">
        <v>6007</v>
      </c>
      <c r="C2241" s="6" t="s">
        <v>12</v>
      </c>
      <c r="D2241" s="6" t="s">
        <v>5505</v>
      </c>
      <c r="E2241" s="6" t="s">
        <v>5987</v>
      </c>
      <c r="F2241" s="6" t="s">
        <v>6008</v>
      </c>
      <c r="G2241" s="6" t="s">
        <v>16</v>
      </c>
      <c r="H2241" s="5">
        <v>2</v>
      </c>
      <c r="I2241" s="6" t="s">
        <v>6009</v>
      </c>
      <c r="J2241" s="5">
        <v>1080</v>
      </c>
    </row>
    <row r="2242" s="2" customFormat="1" spans="1:10">
      <c r="A2242" s="6">
        <f>2240</f>
        <v>2240</v>
      </c>
      <c r="B2242" s="6" t="s">
        <v>6010</v>
      </c>
      <c r="C2242" s="6" t="s">
        <v>12</v>
      </c>
      <c r="D2242" s="6" t="s">
        <v>5505</v>
      </c>
      <c r="E2242" s="6" t="s">
        <v>5987</v>
      </c>
      <c r="F2242" s="6" t="s">
        <v>6011</v>
      </c>
      <c r="G2242" s="6" t="s">
        <v>16</v>
      </c>
      <c r="H2242" s="5">
        <v>3</v>
      </c>
      <c r="I2242" s="6" t="s">
        <v>6012</v>
      </c>
      <c r="J2242" s="5">
        <v>1410</v>
      </c>
    </row>
    <row r="2243" s="2" customFormat="1" spans="1:10">
      <c r="A2243" s="6">
        <f>2241</f>
        <v>2241</v>
      </c>
      <c r="B2243" s="6" t="s">
        <v>6013</v>
      </c>
      <c r="C2243" s="6" t="s">
        <v>12</v>
      </c>
      <c r="D2243" s="6" t="s">
        <v>5505</v>
      </c>
      <c r="E2243" s="6" t="s">
        <v>5987</v>
      </c>
      <c r="F2243" s="6" t="s">
        <v>6014</v>
      </c>
      <c r="G2243" s="6" t="s">
        <v>16</v>
      </c>
      <c r="H2243" s="5">
        <v>1</v>
      </c>
      <c r="I2243" s="6" t="s">
        <v>6014</v>
      </c>
      <c r="J2243" s="5">
        <v>530</v>
      </c>
    </row>
    <row r="2244" s="2" customFormat="1" spans="1:10">
      <c r="A2244" s="6">
        <f>2242</f>
        <v>2242</v>
      </c>
      <c r="B2244" s="6" t="s">
        <v>6015</v>
      </c>
      <c r="C2244" s="6" t="s">
        <v>12</v>
      </c>
      <c r="D2244" s="6" t="s">
        <v>5505</v>
      </c>
      <c r="E2244" s="6" t="s">
        <v>5987</v>
      </c>
      <c r="F2244" s="6" t="s">
        <v>6016</v>
      </c>
      <c r="G2244" s="6" t="s">
        <v>16</v>
      </c>
      <c r="H2244" s="5">
        <v>1</v>
      </c>
      <c r="I2244" s="6" t="s">
        <v>6016</v>
      </c>
      <c r="J2244" s="5">
        <v>620</v>
      </c>
    </row>
    <row r="2245" s="2" customFormat="1" ht="40.5" spans="1:10">
      <c r="A2245" s="6">
        <f>2243</f>
        <v>2243</v>
      </c>
      <c r="B2245" s="6" t="s">
        <v>6017</v>
      </c>
      <c r="C2245" s="6" t="s">
        <v>12</v>
      </c>
      <c r="D2245" s="6" t="s">
        <v>5505</v>
      </c>
      <c r="E2245" s="6" t="s">
        <v>5987</v>
      </c>
      <c r="F2245" s="6" t="s">
        <v>6018</v>
      </c>
      <c r="G2245" s="6" t="s">
        <v>16</v>
      </c>
      <c r="H2245" s="5">
        <v>7</v>
      </c>
      <c r="I2245" s="6" t="s">
        <v>6019</v>
      </c>
      <c r="J2245" s="5">
        <v>1320</v>
      </c>
    </row>
    <row r="2246" s="2" customFormat="1" ht="27" spans="1:10">
      <c r="A2246" s="6">
        <f>2244</f>
        <v>2244</v>
      </c>
      <c r="B2246" s="6" t="s">
        <v>6020</v>
      </c>
      <c r="C2246" s="6" t="s">
        <v>12</v>
      </c>
      <c r="D2246" s="6" t="s">
        <v>5505</v>
      </c>
      <c r="E2246" s="6" t="s">
        <v>5987</v>
      </c>
      <c r="F2246" s="6" t="s">
        <v>6021</v>
      </c>
      <c r="G2246" s="6" t="s">
        <v>16</v>
      </c>
      <c r="H2246" s="5">
        <v>4</v>
      </c>
      <c r="I2246" s="6" t="s">
        <v>6022</v>
      </c>
      <c r="J2246" s="5">
        <v>840</v>
      </c>
    </row>
    <row r="2247" s="2" customFormat="1" ht="27" spans="1:10">
      <c r="A2247" s="6">
        <f>2245</f>
        <v>2245</v>
      </c>
      <c r="B2247" s="6" t="s">
        <v>6023</v>
      </c>
      <c r="C2247" s="6" t="s">
        <v>12</v>
      </c>
      <c r="D2247" s="6" t="s">
        <v>5505</v>
      </c>
      <c r="E2247" s="6" t="s">
        <v>5987</v>
      </c>
      <c r="F2247" s="6" t="s">
        <v>6024</v>
      </c>
      <c r="G2247" s="6" t="s">
        <v>16</v>
      </c>
      <c r="H2247" s="5">
        <v>5</v>
      </c>
      <c r="I2247" s="6" t="s">
        <v>6025</v>
      </c>
      <c r="J2247" s="5">
        <v>1100</v>
      </c>
    </row>
    <row r="2248" s="2" customFormat="1" spans="1:10">
      <c r="A2248" s="6">
        <f>2246</f>
        <v>2246</v>
      </c>
      <c r="B2248" s="6" t="s">
        <v>6026</v>
      </c>
      <c r="C2248" s="6" t="s">
        <v>12</v>
      </c>
      <c r="D2248" s="6" t="s">
        <v>5505</v>
      </c>
      <c r="E2248" s="6" t="s">
        <v>5987</v>
      </c>
      <c r="F2248" s="6" t="s">
        <v>6027</v>
      </c>
      <c r="G2248" s="6" t="s">
        <v>16</v>
      </c>
      <c r="H2248" s="5">
        <v>1</v>
      </c>
      <c r="I2248" s="6" t="s">
        <v>6027</v>
      </c>
      <c r="J2248" s="5">
        <v>540</v>
      </c>
    </row>
    <row r="2249" s="2" customFormat="1" ht="27" spans="1:10">
      <c r="A2249" s="6">
        <f>2247</f>
        <v>2247</v>
      </c>
      <c r="B2249" s="6" t="s">
        <v>6028</v>
      </c>
      <c r="C2249" s="6" t="s">
        <v>12</v>
      </c>
      <c r="D2249" s="6" t="s">
        <v>5505</v>
      </c>
      <c r="E2249" s="6" t="s">
        <v>5987</v>
      </c>
      <c r="F2249" s="6" t="s">
        <v>6029</v>
      </c>
      <c r="G2249" s="6" t="s">
        <v>16</v>
      </c>
      <c r="H2249" s="5">
        <v>4</v>
      </c>
      <c r="I2249" s="6" t="s">
        <v>6030</v>
      </c>
      <c r="J2249" s="5">
        <v>1980</v>
      </c>
    </row>
    <row r="2250" s="2" customFormat="1" spans="1:10">
      <c r="A2250" s="6">
        <f>2248</f>
        <v>2248</v>
      </c>
      <c r="B2250" s="6" t="s">
        <v>6031</v>
      </c>
      <c r="C2250" s="6" t="s">
        <v>12</v>
      </c>
      <c r="D2250" s="6" t="s">
        <v>5505</v>
      </c>
      <c r="E2250" s="6" t="s">
        <v>5987</v>
      </c>
      <c r="F2250" s="6" t="s">
        <v>6032</v>
      </c>
      <c r="G2250" s="6" t="s">
        <v>16</v>
      </c>
      <c r="H2250" s="5">
        <v>2</v>
      </c>
      <c r="I2250" s="6" t="s">
        <v>6033</v>
      </c>
      <c r="J2250" s="5">
        <v>1080</v>
      </c>
    </row>
    <row r="2251" s="2" customFormat="1" spans="1:10">
      <c r="A2251" s="6">
        <f>2249</f>
        <v>2249</v>
      </c>
      <c r="B2251" s="6" t="s">
        <v>6034</v>
      </c>
      <c r="C2251" s="6" t="s">
        <v>12</v>
      </c>
      <c r="D2251" s="6" t="s">
        <v>5505</v>
      </c>
      <c r="E2251" s="6" t="s">
        <v>5987</v>
      </c>
      <c r="F2251" s="6" t="s">
        <v>6035</v>
      </c>
      <c r="G2251" s="6" t="s">
        <v>16</v>
      </c>
      <c r="H2251" s="5">
        <v>3</v>
      </c>
      <c r="I2251" s="6" t="s">
        <v>6036</v>
      </c>
      <c r="J2251" s="5">
        <v>1220</v>
      </c>
    </row>
    <row r="2252" s="2" customFormat="1" spans="1:10">
      <c r="A2252" s="6">
        <f>2250</f>
        <v>2250</v>
      </c>
      <c r="B2252" s="6" t="s">
        <v>6037</v>
      </c>
      <c r="C2252" s="6" t="s">
        <v>12</v>
      </c>
      <c r="D2252" s="6" t="s">
        <v>5505</v>
      </c>
      <c r="E2252" s="6" t="s">
        <v>5987</v>
      </c>
      <c r="F2252" s="6" t="s">
        <v>6038</v>
      </c>
      <c r="G2252" s="6" t="s">
        <v>16</v>
      </c>
      <c r="H2252" s="5">
        <v>3</v>
      </c>
      <c r="I2252" s="6" t="s">
        <v>6039</v>
      </c>
      <c r="J2252" s="5">
        <v>568</v>
      </c>
    </row>
    <row r="2253" s="2" customFormat="1" spans="1:10">
      <c r="A2253" s="6">
        <f>2251</f>
        <v>2251</v>
      </c>
      <c r="B2253" s="6" t="s">
        <v>6040</v>
      </c>
      <c r="C2253" s="6" t="s">
        <v>12</v>
      </c>
      <c r="D2253" s="6" t="s">
        <v>5505</v>
      </c>
      <c r="E2253" s="6" t="s">
        <v>5987</v>
      </c>
      <c r="F2253" s="6" t="s">
        <v>6041</v>
      </c>
      <c r="G2253" s="6" t="s">
        <v>16</v>
      </c>
      <c r="H2253" s="5">
        <v>3</v>
      </c>
      <c r="I2253" s="6" t="s">
        <v>6042</v>
      </c>
      <c r="J2253" s="5">
        <v>1360</v>
      </c>
    </row>
    <row r="2254" s="2" customFormat="1" spans="1:10">
      <c r="A2254" s="6">
        <f>2252</f>
        <v>2252</v>
      </c>
      <c r="B2254" s="6" t="s">
        <v>6043</v>
      </c>
      <c r="C2254" s="6" t="s">
        <v>12</v>
      </c>
      <c r="D2254" s="6" t="s">
        <v>5505</v>
      </c>
      <c r="E2254" s="6" t="s">
        <v>5987</v>
      </c>
      <c r="F2254" s="6" t="s">
        <v>6044</v>
      </c>
      <c r="G2254" s="6" t="s">
        <v>16</v>
      </c>
      <c r="H2254" s="5">
        <v>1</v>
      </c>
      <c r="I2254" s="6" t="s">
        <v>6044</v>
      </c>
      <c r="J2254" s="5">
        <v>320</v>
      </c>
    </row>
    <row r="2255" s="2" customFormat="1" spans="1:10">
      <c r="A2255" s="6">
        <f>2253</f>
        <v>2253</v>
      </c>
      <c r="B2255" s="6" t="s">
        <v>6045</v>
      </c>
      <c r="C2255" s="6" t="s">
        <v>12</v>
      </c>
      <c r="D2255" s="6" t="s">
        <v>5505</v>
      </c>
      <c r="E2255" s="6" t="s">
        <v>5987</v>
      </c>
      <c r="F2255" s="6" t="s">
        <v>6046</v>
      </c>
      <c r="G2255" s="6" t="s">
        <v>16</v>
      </c>
      <c r="H2255" s="5">
        <v>2</v>
      </c>
      <c r="I2255" s="6" t="s">
        <v>6047</v>
      </c>
      <c r="J2255" s="5">
        <v>890</v>
      </c>
    </row>
    <row r="2256" s="2" customFormat="1" spans="1:10">
      <c r="A2256" s="6">
        <f>2254</f>
        <v>2254</v>
      </c>
      <c r="B2256" s="6" t="s">
        <v>6048</v>
      </c>
      <c r="C2256" s="6" t="s">
        <v>12</v>
      </c>
      <c r="D2256" s="6" t="s">
        <v>5505</v>
      </c>
      <c r="E2256" s="6" t="s">
        <v>5987</v>
      </c>
      <c r="F2256" s="6" t="s">
        <v>6049</v>
      </c>
      <c r="G2256" s="6" t="s">
        <v>16</v>
      </c>
      <c r="H2256" s="5">
        <v>1</v>
      </c>
      <c r="I2256" s="6" t="s">
        <v>6049</v>
      </c>
      <c r="J2256" s="5">
        <v>440</v>
      </c>
    </row>
    <row r="2257" s="2" customFormat="1" spans="1:10">
      <c r="A2257" s="6">
        <f>2255</f>
        <v>2255</v>
      </c>
      <c r="B2257" s="6" t="s">
        <v>6050</v>
      </c>
      <c r="C2257" s="6" t="s">
        <v>12</v>
      </c>
      <c r="D2257" s="6" t="s">
        <v>5505</v>
      </c>
      <c r="E2257" s="6" t="s">
        <v>5987</v>
      </c>
      <c r="F2257" s="6" t="s">
        <v>6051</v>
      </c>
      <c r="G2257" s="6" t="s">
        <v>16</v>
      </c>
      <c r="H2257" s="5">
        <v>1</v>
      </c>
      <c r="I2257" s="6" t="s">
        <v>6051</v>
      </c>
      <c r="J2257" s="5">
        <v>265</v>
      </c>
    </row>
    <row r="2258" s="2" customFormat="1" ht="27" spans="1:10">
      <c r="A2258" s="6">
        <f>2256</f>
        <v>2256</v>
      </c>
      <c r="B2258" s="6" t="s">
        <v>6052</v>
      </c>
      <c r="C2258" s="6" t="s">
        <v>12</v>
      </c>
      <c r="D2258" s="6" t="s">
        <v>5505</v>
      </c>
      <c r="E2258" s="6" t="s">
        <v>5987</v>
      </c>
      <c r="F2258" s="6" t="s">
        <v>6053</v>
      </c>
      <c r="G2258" s="6" t="s">
        <v>16</v>
      </c>
      <c r="H2258" s="5">
        <v>5</v>
      </c>
      <c r="I2258" s="6" t="s">
        <v>6054</v>
      </c>
      <c r="J2258" s="5">
        <v>2040</v>
      </c>
    </row>
    <row r="2259" s="2" customFormat="1" spans="1:10">
      <c r="A2259" s="6">
        <f>2257</f>
        <v>2257</v>
      </c>
      <c r="B2259" s="6" t="s">
        <v>6055</v>
      </c>
      <c r="C2259" s="6" t="s">
        <v>12</v>
      </c>
      <c r="D2259" s="6" t="s">
        <v>5505</v>
      </c>
      <c r="E2259" s="6" t="s">
        <v>5987</v>
      </c>
      <c r="F2259" s="6" t="s">
        <v>6056</v>
      </c>
      <c r="G2259" s="6" t="s">
        <v>16</v>
      </c>
      <c r="H2259" s="5">
        <v>2</v>
      </c>
      <c r="I2259" s="6" t="s">
        <v>6057</v>
      </c>
      <c r="J2259" s="5">
        <v>520</v>
      </c>
    </row>
    <row r="2260" s="2" customFormat="1" ht="27" spans="1:10">
      <c r="A2260" s="6">
        <f>2258</f>
        <v>2258</v>
      </c>
      <c r="B2260" s="6" t="s">
        <v>6058</v>
      </c>
      <c r="C2260" s="6" t="s">
        <v>12</v>
      </c>
      <c r="D2260" s="6" t="s">
        <v>5505</v>
      </c>
      <c r="E2260" s="6" t="s">
        <v>5987</v>
      </c>
      <c r="F2260" s="6" t="s">
        <v>6059</v>
      </c>
      <c r="G2260" s="6" t="s">
        <v>16</v>
      </c>
      <c r="H2260" s="5">
        <v>4</v>
      </c>
      <c r="I2260" s="6" t="s">
        <v>6060</v>
      </c>
      <c r="J2260" s="5">
        <v>1610</v>
      </c>
    </row>
    <row r="2261" s="2" customFormat="1" spans="1:10">
      <c r="A2261" s="6">
        <f>2259</f>
        <v>2259</v>
      </c>
      <c r="B2261" s="6" t="s">
        <v>6061</v>
      </c>
      <c r="C2261" s="6" t="s">
        <v>12</v>
      </c>
      <c r="D2261" s="6" t="s">
        <v>5505</v>
      </c>
      <c r="E2261" s="6" t="s">
        <v>5987</v>
      </c>
      <c r="F2261" s="6" t="s">
        <v>6062</v>
      </c>
      <c r="G2261" s="6" t="s">
        <v>16</v>
      </c>
      <c r="H2261" s="5">
        <v>1</v>
      </c>
      <c r="I2261" s="6" t="s">
        <v>6062</v>
      </c>
      <c r="J2261" s="5">
        <v>265</v>
      </c>
    </row>
    <row r="2262" s="2" customFormat="1" spans="1:10">
      <c r="A2262" s="6">
        <f>2260</f>
        <v>2260</v>
      </c>
      <c r="B2262" s="6" t="s">
        <v>6063</v>
      </c>
      <c r="C2262" s="6" t="s">
        <v>12</v>
      </c>
      <c r="D2262" s="6" t="s">
        <v>5505</v>
      </c>
      <c r="E2262" s="6" t="s">
        <v>5987</v>
      </c>
      <c r="F2262" s="6" t="s">
        <v>6064</v>
      </c>
      <c r="G2262" s="6" t="s">
        <v>16</v>
      </c>
      <c r="H2262" s="5">
        <v>1</v>
      </c>
      <c r="I2262" s="6" t="s">
        <v>6064</v>
      </c>
      <c r="J2262" s="5">
        <v>573</v>
      </c>
    </row>
    <row r="2263" s="2" customFormat="1" ht="27" spans="1:10">
      <c r="A2263" s="6">
        <f>2261</f>
        <v>2261</v>
      </c>
      <c r="B2263" s="6" t="s">
        <v>6065</v>
      </c>
      <c r="C2263" s="6" t="s">
        <v>12</v>
      </c>
      <c r="D2263" s="6" t="s">
        <v>5505</v>
      </c>
      <c r="E2263" s="6" t="s">
        <v>5987</v>
      </c>
      <c r="F2263" s="6" t="s">
        <v>6066</v>
      </c>
      <c r="G2263" s="6" t="s">
        <v>16</v>
      </c>
      <c r="H2263" s="5">
        <v>5</v>
      </c>
      <c r="I2263" s="6" t="s">
        <v>6067</v>
      </c>
      <c r="J2263" s="5">
        <v>1500</v>
      </c>
    </row>
    <row r="2264" s="2" customFormat="1" ht="27" spans="1:10">
      <c r="A2264" s="6">
        <f>2262</f>
        <v>2262</v>
      </c>
      <c r="B2264" s="6" t="s">
        <v>6068</v>
      </c>
      <c r="C2264" s="6" t="s">
        <v>12</v>
      </c>
      <c r="D2264" s="6" t="s">
        <v>5505</v>
      </c>
      <c r="E2264" s="6" t="s">
        <v>5987</v>
      </c>
      <c r="F2264" s="6" t="s">
        <v>6069</v>
      </c>
      <c r="G2264" s="6" t="s">
        <v>16</v>
      </c>
      <c r="H2264" s="5">
        <v>4</v>
      </c>
      <c r="I2264" s="6" t="s">
        <v>6070</v>
      </c>
      <c r="J2264" s="5">
        <v>860</v>
      </c>
    </row>
    <row r="2265" s="2" customFormat="1" spans="1:10">
      <c r="A2265" s="6">
        <f>2263</f>
        <v>2263</v>
      </c>
      <c r="B2265" s="6" t="s">
        <v>6071</v>
      </c>
      <c r="C2265" s="6" t="s">
        <v>12</v>
      </c>
      <c r="D2265" s="6" t="s">
        <v>5505</v>
      </c>
      <c r="E2265" s="6" t="s">
        <v>5987</v>
      </c>
      <c r="F2265" s="6" t="s">
        <v>6072</v>
      </c>
      <c r="G2265" s="6" t="s">
        <v>16</v>
      </c>
      <c r="H2265" s="5">
        <v>1</v>
      </c>
      <c r="I2265" s="6" t="s">
        <v>6072</v>
      </c>
      <c r="J2265" s="5">
        <v>387</v>
      </c>
    </row>
    <row r="2266" s="2" customFormat="1" spans="1:10">
      <c r="A2266" s="6">
        <f>2264</f>
        <v>2264</v>
      </c>
      <c r="B2266" s="6" t="s">
        <v>6073</v>
      </c>
      <c r="C2266" s="6" t="s">
        <v>12</v>
      </c>
      <c r="D2266" s="6" t="s">
        <v>5505</v>
      </c>
      <c r="E2266" s="6" t="s">
        <v>5987</v>
      </c>
      <c r="F2266" s="6" t="s">
        <v>6074</v>
      </c>
      <c r="G2266" s="6" t="s">
        <v>16</v>
      </c>
      <c r="H2266" s="5">
        <v>1</v>
      </c>
      <c r="I2266" s="6" t="s">
        <v>6074</v>
      </c>
      <c r="J2266" s="5">
        <v>260</v>
      </c>
    </row>
    <row r="2267" s="2" customFormat="1" spans="1:10">
      <c r="A2267" s="6">
        <f>2265</f>
        <v>2265</v>
      </c>
      <c r="B2267" s="6" t="s">
        <v>6075</v>
      </c>
      <c r="C2267" s="6" t="s">
        <v>12</v>
      </c>
      <c r="D2267" s="6" t="s">
        <v>5505</v>
      </c>
      <c r="E2267" s="6" t="s">
        <v>5987</v>
      </c>
      <c r="F2267" s="6" t="s">
        <v>6076</v>
      </c>
      <c r="G2267" s="6" t="s">
        <v>16</v>
      </c>
      <c r="H2267" s="5">
        <v>1</v>
      </c>
      <c r="I2267" s="6" t="s">
        <v>6076</v>
      </c>
      <c r="J2267" s="5">
        <v>540</v>
      </c>
    </row>
    <row r="2268" s="2" customFormat="1" spans="1:10">
      <c r="A2268" s="6">
        <f>2266</f>
        <v>2266</v>
      </c>
      <c r="B2268" s="6" t="s">
        <v>6077</v>
      </c>
      <c r="C2268" s="6" t="s">
        <v>12</v>
      </c>
      <c r="D2268" s="6" t="s">
        <v>5505</v>
      </c>
      <c r="E2268" s="6" t="s">
        <v>5987</v>
      </c>
      <c r="F2268" s="6" t="s">
        <v>6078</v>
      </c>
      <c r="G2268" s="6" t="s">
        <v>16</v>
      </c>
      <c r="H2268" s="5">
        <v>2</v>
      </c>
      <c r="I2268" s="6" t="s">
        <v>6079</v>
      </c>
      <c r="J2268" s="5">
        <v>640</v>
      </c>
    </row>
    <row r="2269" s="2" customFormat="1" spans="1:10">
      <c r="A2269" s="6">
        <f>2267</f>
        <v>2267</v>
      </c>
      <c r="B2269" s="6" t="s">
        <v>6080</v>
      </c>
      <c r="C2269" s="6" t="s">
        <v>12</v>
      </c>
      <c r="D2269" s="6" t="s">
        <v>5505</v>
      </c>
      <c r="E2269" s="6" t="s">
        <v>5987</v>
      </c>
      <c r="F2269" s="6" t="s">
        <v>6081</v>
      </c>
      <c r="G2269" s="6" t="s">
        <v>16</v>
      </c>
      <c r="H2269" s="5">
        <v>2</v>
      </c>
      <c r="I2269" s="6" t="s">
        <v>6082</v>
      </c>
      <c r="J2269" s="5">
        <v>1000</v>
      </c>
    </row>
    <row r="2270" s="2" customFormat="1" spans="1:10">
      <c r="A2270" s="6">
        <f>2268</f>
        <v>2268</v>
      </c>
      <c r="B2270" s="6" t="s">
        <v>6083</v>
      </c>
      <c r="C2270" s="6" t="s">
        <v>12</v>
      </c>
      <c r="D2270" s="6" t="s">
        <v>5505</v>
      </c>
      <c r="E2270" s="6" t="s">
        <v>5987</v>
      </c>
      <c r="F2270" s="6" t="s">
        <v>6084</v>
      </c>
      <c r="G2270" s="6" t="s">
        <v>16</v>
      </c>
      <c r="H2270" s="5">
        <v>1</v>
      </c>
      <c r="I2270" s="6" t="s">
        <v>6084</v>
      </c>
      <c r="J2270" s="5">
        <v>620</v>
      </c>
    </row>
    <row r="2271" s="2" customFormat="1" spans="1:10">
      <c r="A2271" s="6">
        <f>2269</f>
        <v>2269</v>
      </c>
      <c r="B2271" s="6" t="s">
        <v>6085</v>
      </c>
      <c r="C2271" s="6" t="s">
        <v>12</v>
      </c>
      <c r="D2271" s="6" t="s">
        <v>5505</v>
      </c>
      <c r="E2271" s="6" t="s">
        <v>5987</v>
      </c>
      <c r="F2271" s="6" t="s">
        <v>6086</v>
      </c>
      <c r="G2271" s="6" t="s">
        <v>16</v>
      </c>
      <c r="H2271" s="5">
        <v>1</v>
      </c>
      <c r="I2271" s="6" t="s">
        <v>6086</v>
      </c>
      <c r="J2271" s="5">
        <v>341</v>
      </c>
    </row>
    <row r="2272" s="2" customFormat="1" spans="1:10">
      <c r="A2272" s="6">
        <f>2270</f>
        <v>2270</v>
      </c>
      <c r="B2272" s="6" t="s">
        <v>6087</v>
      </c>
      <c r="C2272" s="6" t="s">
        <v>12</v>
      </c>
      <c r="D2272" s="6" t="s">
        <v>5505</v>
      </c>
      <c r="E2272" s="6" t="s">
        <v>5987</v>
      </c>
      <c r="F2272" s="6" t="s">
        <v>6088</v>
      </c>
      <c r="G2272" s="6" t="s">
        <v>16</v>
      </c>
      <c r="H2272" s="5">
        <v>1</v>
      </c>
      <c r="I2272" s="6" t="s">
        <v>6088</v>
      </c>
      <c r="J2272" s="5">
        <v>370</v>
      </c>
    </row>
    <row r="2273" s="2" customFormat="1" spans="1:10">
      <c r="A2273" s="6">
        <f>2271</f>
        <v>2271</v>
      </c>
      <c r="B2273" s="6" t="s">
        <v>6089</v>
      </c>
      <c r="C2273" s="6" t="s">
        <v>12</v>
      </c>
      <c r="D2273" s="6" t="s">
        <v>5505</v>
      </c>
      <c r="E2273" s="6" t="s">
        <v>5987</v>
      </c>
      <c r="F2273" s="6" t="s">
        <v>6090</v>
      </c>
      <c r="G2273" s="6" t="s">
        <v>16</v>
      </c>
      <c r="H2273" s="5">
        <v>2</v>
      </c>
      <c r="I2273" s="6" t="s">
        <v>6091</v>
      </c>
      <c r="J2273" s="5">
        <v>880</v>
      </c>
    </row>
    <row r="2274" s="2" customFormat="1" spans="1:10">
      <c r="A2274" s="6">
        <f>2272</f>
        <v>2272</v>
      </c>
      <c r="B2274" s="6" t="s">
        <v>6092</v>
      </c>
      <c r="C2274" s="6" t="s">
        <v>12</v>
      </c>
      <c r="D2274" s="6" t="s">
        <v>5505</v>
      </c>
      <c r="E2274" s="6" t="s">
        <v>5987</v>
      </c>
      <c r="F2274" s="6" t="s">
        <v>6093</v>
      </c>
      <c r="G2274" s="6" t="s">
        <v>16</v>
      </c>
      <c r="H2274" s="5">
        <v>3</v>
      </c>
      <c r="I2274" s="6" t="s">
        <v>6094</v>
      </c>
      <c r="J2274" s="5">
        <v>839</v>
      </c>
    </row>
    <row r="2275" s="2" customFormat="1" spans="1:10">
      <c r="A2275" s="6">
        <f>2273</f>
        <v>2273</v>
      </c>
      <c r="B2275" s="6" t="s">
        <v>6095</v>
      </c>
      <c r="C2275" s="6" t="s">
        <v>12</v>
      </c>
      <c r="D2275" s="6" t="s">
        <v>5505</v>
      </c>
      <c r="E2275" s="6" t="s">
        <v>5987</v>
      </c>
      <c r="F2275" s="6" t="s">
        <v>6096</v>
      </c>
      <c r="G2275" s="6" t="s">
        <v>16</v>
      </c>
      <c r="H2275" s="5">
        <v>1</v>
      </c>
      <c r="I2275" s="6" t="s">
        <v>6096</v>
      </c>
      <c r="J2275" s="5">
        <v>332</v>
      </c>
    </row>
    <row r="2276" s="2" customFormat="1" spans="1:10">
      <c r="A2276" s="6">
        <f>2274</f>
        <v>2274</v>
      </c>
      <c r="B2276" s="6" t="s">
        <v>6097</v>
      </c>
      <c r="C2276" s="6" t="s">
        <v>12</v>
      </c>
      <c r="D2276" s="6" t="s">
        <v>5505</v>
      </c>
      <c r="E2276" s="6" t="s">
        <v>5987</v>
      </c>
      <c r="F2276" s="6" t="s">
        <v>6098</v>
      </c>
      <c r="G2276" s="6" t="s">
        <v>16</v>
      </c>
      <c r="H2276" s="5">
        <v>2</v>
      </c>
      <c r="I2276" s="6" t="s">
        <v>6099</v>
      </c>
      <c r="J2276" s="5">
        <v>1090</v>
      </c>
    </row>
    <row r="2277" s="2" customFormat="1" spans="1:10">
      <c r="A2277" s="6">
        <f>2275</f>
        <v>2275</v>
      </c>
      <c r="B2277" s="6" t="s">
        <v>6100</v>
      </c>
      <c r="C2277" s="6" t="s">
        <v>12</v>
      </c>
      <c r="D2277" s="6" t="s">
        <v>5505</v>
      </c>
      <c r="E2277" s="6" t="s">
        <v>5987</v>
      </c>
      <c r="F2277" s="6" t="s">
        <v>3945</v>
      </c>
      <c r="G2277" s="6" t="s">
        <v>16</v>
      </c>
      <c r="H2277" s="5">
        <v>1</v>
      </c>
      <c r="I2277" s="6" t="s">
        <v>3945</v>
      </c>
      <c r="J2277" s="5">
        <v>223</v>
      </c>
    </row>
    <row r="2278" s="2" customFormat="1" spans="1:10">
      <c r="A2278" s="6">
        <f>2276</f>
        <v>2276</v>
      </c>
      <c r="B2278" s="6" t="s">
        <v>6101</v>
      </c>
      <c r="C2278" s="6" t="s">
        <v>12</v>
      </c>
      <c r="D2278" s="6" t="s">
        <v>5505</v>
      </c>
      <c r="E2278" s="6" t="s">
        <v>5987</v>
      </c>
      <c r="F2278" s="6" t="s">
        <v>6102</v>
      </c>
      <c r="G2278" s="6" t="s">
        <v>16</v>
      </c>
      <c r="H2278" s="5">
        <v>1</v>
      </c>
      <c r="I2278" s="6" t="s">
        <v>6102</v>
      </c>
      <c r="J2278" s="5">
        <v>370</v>
      </c>
    </row>
    <row r="2279" s="2" customFormat="1" spans="1:10">
      <c r="A2279" s="6">
        <f>2277</f>
        <v>2277</v>
      </c>
      <c r="B2279" s="6" t="s">
        <v>6103</v>
      </c>
      <c r="C2279" s="6" t="s">
        <v>12</v>
      </c>
      <c r="D2279" s="6" t="s">
        <v>5505</v>
      </c>
      <c r="E2279" s="6" t="s">
        <v>5987</v>
      </c>
      <c r="F2279" s="6" t="s">
        <v>6104</v>
      </c>
      <c r="G2279" s="6" t="s">
        <v>16</v>
      </c>
      <c r="H2279" s="5">
        <v>3</v>
      </c>
      <c r="I2279" s="6" t="s">
        <v>6105</v>
      </c>
      <c r="J2279" s="5">
        <v>1020</v>
      </c>
    </row>
    <row r="2280" s="2" customFormat="1" spans="1:10">
      <c r="A2280" s="6">
        <f>2278</f>
        <v>2278</v>
      </c>
      <c r="B2280" s="6" t="s">
        <v>6106</v>
      </c>
      <c r="C2280" s="6" t="s">
        <v>12</v>
      </c>
      <c r="D2280" s="6" t="s">
        <v>5505</v>
      </c>
      <c r="E2280" s="6" t="s">
        <v>5987</v>
      </c>
      <c r="F2280" s="6" t="s">
        <v>6107</v>
      </c>
      <c r="G2280" s="6" t="s">
        <v>16</v>
      </c>
      <c r="H2280" s="5">
        <v>1</v>
      </c>
      <c r="I2280" s="6" t="s">
        <v>6107</v>
      </c>
      <c r="J2280" s="5">
        <v>265</v>
      </c>
    </row>
    <row r="2281" s="2" customFormat="1" ht="40.5" spans="1:10">
      <c r="A2281" s="6">
        <f>2279</f>
        <v>2279</v>
      </c>
      <c r="B2281" s="6" t="s">
        <v>6108</v>
      </c>
      <c r="C2281" s="6" t="s">
        <v>12</v>
      </c>
      <c r="D2281" s="6" t="s">
        <v>5505</v>
      </c>
      <c r="E2281" s="6" t="s">
        <v>5987</v>
      </c>
      <c r="F2281" s="6" t="s">
        <v>6109</v>
      </c>
      <c r="G2281" s="6" t="s">
        <v>16</v>
      </c>
      <c r="H2281" s="5">
        <v>7</v>
      </c>
      <c r="I2281" s="6" t="s">
        <v>6110</v>
      </c>
      <c r="J2281" s="5">
        <v>2590</v>
      </c>
    </row>
    <row r="2282" s="2" customFormat="1" spans="1:10">
      <c r="A2282" s="6">
        <f>2280</f>
        <v>2280</v>
      </c>
      <c r="B2282" s="6" t="s">
        <v>6111</v>
      </c>
      <c r="C2282" s="6" t="s">
        <v>12</v>
      </c>
      <c r="D2282" s="6" t="s">
        <v>5505</v>
      </c>
      <c r="E2282" s="6" t="s">
        <v>5987</v>
      </c>
      <c r="F2282" s="6" t="s">
        <v>6112</v>
      </c>
      <c r="G2282" s="6" t="s">
        <v>16</v>
      </c>
      <c r="H2282" s="5">
        <v>1</v>
      </c>
      <c r="I2282" s="6" t="s">
        <v>6112</v>
      </c>
      <c r="J2282" s="5">
        <v>321</v>
      </c>
    </row>
    <row r="2283" s="2" customFormat="1" spans="1:10">
      <c r="A2283" s="6">
        <f>2281</f>
        <v>2281</v>
      </c>
      <c r="B2283" s="6" t="s">
        <v>6113</v>
      </c>
      <c r="C2283" s="6" t="s">
        <v>12</v>
      </c>
      <c r="D2283" s="6" t="s">
        <v>5505</v>
      </c>
      <c r="E2283" s="6" t="s">
        <v>5987</v>
      </c>
      <c r="F2283" s="6" t="s">
        <v>6114</v>
      </c>
      <c r="G2283" s="6" t="s">
        <v>16</v>
      </c>
      <c r="H2283" s="5">
        <v>2</v>
      </c>
      <c r="I2283" s="6" t="s">
        <v>6115</v>
      </c>
      <c r="J2283" s="5">
        <v>990</v>
      </c>
    </row>
    <row r="2284" s="2" customFormat="1" ht="27" spans="1:10">
      <c r="A2284" s="6">
        <f>2282</f>
        <v>2282</v>
      </c>
      <c r="B2284" s="6" t="s">
        <v>6116</v>
      </c>
      <c r="C2284" s="6" t="s">
        <v>12</v>
      </c>
      <c r="D2284" s="6" t="s">
        <v>5505</v>
      </c>
      <c r="E2284" s="6" t="s">
        <v>5987</v>
      </c>
      <c r="F2284" s="6" t="s">
        <v>6117</v>
      </c>
      <c r="G2284" s="6" t="s">
        <v>16</v>
      </c>
      <c r="H2284" s="5">
        <v>4</v>
      </c>
      <c r="I2284" s="6" t="s">
        <v>6118</v>
      </c>
      <c r="J2284" s="5">
        <v>822</v>
      </c>
    </row>
    <row r="2285" s="2" customFormat="1" spans="1:10">
      <c r="A2285" s="6">
        <f>2283</f>
        <v>2283</v>
      </c>
      <c r="B2285" s="6" t="s">
        <v>6119</v>
      </c>
      <c r="C2285" s="6" t="s">
        <v>12</v>
      </c>
      <c r="D2285" s="6" t="s">
        <v>5505</v>
      </c>
      <c r="E2285" s="6" t="s">
        <v>5987</v>
      </c>
      <c r="F2285" s="6" t="s">
        <v>6120</v>
      </c>
      <c r="G2285" s="6" t="s">
        <v>16</v>
      </c>
      <c r="H2285" s="5">
        <v>2</v>
      </c>
      <c r="I2285" s="6" t="s">
        <v>6121</v>
      </c>
      <c r="J2285" s="5">
        <v>570</v>
      </c>
    </row>
    <row r="2286" s="2" customFormat="1" spans="1:10">
      <c r="A2286" s="6">
        <f>2284</f>
        <v>2284</v>
      </c>
      <c r="B2286" s="6" t="s">
        <v>6122</v>
      </c>
      <c r="C2286" s="6" t="s">
        <v>12</v>
      </c>
      <c r="D2286" s="6" t="s">
        <v>5505</v>
      </c>
      <c r="E2286" s="6" t="s">
        <v>5987</v>
      </c>
      <c r="F2286" s="6" t="s">
        <v>6123</v>
      </c>
      <c r="G2286" s="6" t="s">
        <v>16</v>
      </c>
      <c r="H2286" s="5">
        <v>1</v>
      </c>
      <c r="I2286" s="6" t="s">
        <v>6123</v>
      </c>
      <c r="J2286" s="5">
        <v>400</v>
      </c>
    </row>
    <row r="2287" s="2" customFormat="1" spans="1:10">
      <c r="A2287" s="6">
        <f>2285</f>
        <v>2285</v>
      </c>
      <c r="B2287" s="6" t="s">
        <v>6124</v>
      </c>
      <c r="C2287" s="6" t="s">
        <v>12</v>
      </c>
      <c r="D2287" s="6" t="s">
        <v>5505</v>
      </c>
      <c r="E2287" s="6" t="s">
        <v>5987</v>
      </c>
      <c r="F2287" s="6" t="s">
        <v>6125</v>
      </c>
      <c r="G2287" s="6" t="s">
        <v>16</v>
      </c>
      <c r="H2287" s="5">
        <v>1</v>
      </c>
      <c r="I2287" s="6" t="s">
        <v>6125</v>
      </c>
      <c r="J2287" s="5">
        <v>440</v>
      </c>
    </row>
    <row r="2288" s="2" customFormat="1" spans="1:10">
      <c r="A2288" s="6">
        <f>2286</f>
        <v>2286</v>
      </c>
      <c r="B2288" s="6" t="s">
        <v>6126</v>
      </c>
      <c r="C2288" s="6" t="s">
        <v>12</v>
      </c>
      <c r="D2288" s="6" t="s">
        <v>5505</v>
      </c>
      <c r="E2288" s="6" t="s">
        <v>6127</v>
      </c>
      <c r="F2288" s="6" t="s">
        <v>6128</v>
      </c>
      <c r="G2288" s="6" t="s">
        <v>16</v>
      </c>
      <c r="H2288" s="5">
        <v>1</v>
      </c>
      <c r="I2288" s="6" t="s">
        <v>6128</v>
      </c>
      <c r="J2288" s="5">
        <v>540</v>
      </c>
    </row>
    <row r="2289" s="2" customFormat="1" spans="1:10">
      <c r="A2289" s="6">
        <f>2287</f>
        <v>2287</v>
      </c>
      <c r="B2289" s="6" t="s">
        <v>6129</v>
      </c>
      <c r="C2289" s="6" t="s">
        <v>12</v>
      </c>
      <c r="D2289" s="6" t="s">
        <v>5505</v>
      </c>
      <c r="E2289" s="6" t="s">
        <v>6127</v>
      </c>
      <c r="F2289" s="6" t="s">
        <v>6130</v>
      </c>
      <c r="G2289" s="6" t="s">
        <v>16</v>
      </c>
      <c r="H2289" s="5">
        <v>1</v>
      </c>
      <c r="I2289" s="6" t="s">
        <v>6130</v>
      </c>
      <c r="J2289" s="5">
        <v>470</v>
      </c>
    </row>
    <row r="2290" s="2" customFormat="1" spans="1:10">
      <c r="A2290" s="6">
        <f>2288</f>
        <v>2288</v>
      </c>
      <c r="B2290" s="6" t="s">
        <v>6131</v>
      </c>
      <c r="C2290" s="6" t="s">
        <v>12</v>
      </c>
      <c r="D2290" s="6" t="s">
        <v>5505</v>
      </c>
      <c r="E2290" s="6" t="s">
        <v>6127</v>
      </c>
      <c r="F2290" s="6" t="s">
        <v>6132</v>
      </c>
      <c r="G2290" s="6" t="s">
        <v>16</v>
      </c>
      <c r="H2290" s="5">
        <v>3</v>
      </c>
      <c r="I2290" s="6" t="s">
        <v>6133</v>
      </c>
      <c r="J2290" s="5">
        <v>1170</v>
      </c>
    </row>
    <row r="2291" s="2" customFormat="1" spans="1:10">
      <c r="A2291" s="6">
        <f>2289</f>
        <v>2289</v>
      </c>
      <c r="B2291" s="6" t="s">
        <v>6134</v>
      </c>
      <c r="C2291" s="6" t="s">
        <v>12</v>
      </c>
      <c r="D2291" s="6" t="s">
        <v>5505</v>
      </c>
      <c r="E2291" s="6" t="s">
        <v>6127</v>
      </c>
      <c r="F2291" s="6" t="s">
        <v>6135</v>
      </c>
      <c r="G2291" s="6" t="s">
        <v>16</v>
      </c>
      <c r="H2291" s="5">
        <v>2</v>
      </c>
      <c r="I2291" s="6" t="s">
        <v>6136</v>
      </c>
      <c r="J2291" s="5">
        <v>480</v>
      </c>
    </row>
    <row r="2292" s="2" customFormat="1" spans="1:10">
      <c r="A2292" s="6">
        <f>2290</f>
        <v>2290</v>
      </c>
      <c r="B2292" s="6" t="s">
        <v>6137</v>
      </c>
      <c r="C2292" s="6" t="s">
        <v>12</v>
      </c>
      <c r="D2292" s="6" t="s">
        <v>5505</v>
      </c>
      <c r="E2292" s="6" t="s">
        <v>6127</v>
      </c>
      <c r="F2292" s="6" t="s">
        <v>6138</v>
      </c>
      <c r="G2292" s="6" t="s">
        <v>16</v>
      </c>
      <c r="H2292" s="5">
        <v>1</v>
      </c>
      <c r="I2292" s="6" t="s">
        <v>6138</v>
      </c>
      <c r="J2292" s="5">
        <v>620</v>
      </c>
    </row>
    <row r="2293" s="2" customFormat="1" spans="1:10">
      <c r="A2293" s="6">
        <f>2291</f>
        <v>2291</v>
      </c>
      <c r="B2293" s="6" t="s">
        <v>6139</v>
      </c>
      <c r="C2293" s="6" t="s">
        <v>12</v>
      </c>
      <c r="D2293" s="6" t="s">
        <v>5505</v>
      </c>
      <c r="E2293" s="6" t="s">
        <v>6127</v>
      </c>
      <c r="F2293" s="6" t="s">
        <v>6140</v>
      </c>
      <c r="G2293" s="6" t="s">
        <v>16</v>
      </c>
      <c r="H2293" s="5">
        <v>1</v>
      </c>
      <c r="I2293" s="6" t="s">
        <v>6140</v>
      </c>
      <c r="J2293" s="5">
        <v>620</v>
      </c>
    </row>
    <row r="2294" s="2" customFormat="1" ht="40.5" spans="1:10">
      <c r="A2294" s="6">
        <f>2292</f>
        <v>2292</v>
      </c>
      <c r="B2294" s="6" t="s">
        <v>6141</v>
      </c>
      <c r="C2294" s="6" t="s">
        <v>12</v>
      </c>
      <c r="D2294" s="6" t="s">
        <v>5505</v>
      </c>
      <c r="E2294" s="6" t="s">
        <v>6127</v>
      </c>
      <c r="F2294" s="6" t="s">
        <v>6142</v>
      </c>
      <c r="G2294" s="6" t="s">
        <v>16</v>
      </c>
      <c r="H2294" s="5">
        <v>7</v>
      </c>
      <c r="I2294" s="6" t="s">
        <v>6143</v>
      </c>
      <c r="J2294" s="5">
        <v>1620</v>
      </c>
    </row>
    <row r="2295" s="2" customFormat="1" ht="27" spans="1:10">
      <c r="A2295" s="6">
        <f>2293</f>
        <v>2293</v>
      </c>
      <c r="B2295" s="6" t="s">
        <v>6144</v>
      </c>
      <c r="C2295" s="6" t="s">
        <v>12</v>
      </c>
      <c r="D2295" s="6" t="s">
        <v>5505</v>
      </c>
      <c r="E2295" s="6" t="s">
        <v>6127</v>
      </c>
      <c r="F2295" s="6" t="s">
        <v>6145</v>
      </c>
      <c r="G2295" s="6" t="s">
        <v>16</v>
      </c>
      <c r="H2295" s="5">
        <v>5</v>
      </c>
      <c r="I2295" s="6" t="s">
        <v>6146</v>
      </c>
      <c r="J2295" s="5">
        <v>1850</v>
      </c>
    </row>
    <row r="2296" s="2" customFormat="1" spans="1:10">
      <c r="A2296" s="6">
        <f>2294</f>
        <v>2294</v>
      </c>
      <c r="B2296" s="6" t="s">
        <v>6147</v>
      </c>
      <c r="C2296" s="6" t="s">
        <v>12</v>
      </c>
      <c r="D2296" s="6" t="s">
        <v>5505</v>
      </c>
      <c r="E2296" s="6" t="s">
        <v>6127</v>
      </c>
      <c r="F2296" s="6" t="s">
        <v>6148</v>
      </c>
      <c r="G2296" s="6" t="s">
        <v>16</v>
      </c>
      <c r="H2296" s="5">
        <v>2</v>
      </c>
      <c r="I2296" s="6" t="s">
        <v>6149</v>
      </c>
      <c r="J2296" s="5">
        <v>930</v>
      </c>
    </row>
    <row r="2297" s="2" customFormat="1" ht="40.5" spans="1:10">
      <c r="A2297" s="6">
        <f>2295</f>
        <v>2295</v>
      </c>
      <c r="B2297" s="6" t="s">
        <v>6150</v>
      </c>
      <c r="C2297" s="6" t="s">
        <v>12</v>
      </c>
      <c r="D2297" s="6" t="s">
        <v>5505</v>
      </c>
      <c r="E2297" s="6" t="s">
        <v>6127</v>
      </c>
      <c r="F2297" s="6" t="s">
        <v>6151</v>
      </c>
      <c r="G2297" s="6" t="s">
        <v>16</v>
      </c>
      <c r="H2297" s="5">
        <v>7</v>
      </c>
      <c r="I2297" s="6" t="s">
        <v>6152</v>
      </c>
      <c r="J2297" s="5">
        <v>1720</v>
      </c>
    </row>
    <row r="2298" s="2" customFormat="1" ht="27" spans="1:10">
      <c r="A2298" s="6">
        <f>2296</f>
        <v>2296</v>
      </c>
      <c r="B2298" s="6" t="s">
        <v>6153</v>
      </c>
      <c r="C2298" s="6" t="s">
        <v>12</v>
      </c>
      <c r="D2298" s="6" t="s">
        <v>5505</v>
      </c>
      <c r="E2298" s="6" t="s">
        <v>6127</v>
      </c>
      <c r="F2298" s="6" t="s">
        <v>6154</v>
      </c>
      <c r="G2298" s="6" t="s">
        <v>16</v>
      </c>
      <c r="H2298" s="5">
        <v>5</v>
      </c>
      <c r="I2298" s="6" t="s">
        <v>6155</v>
      </c>
      <c r="J2298" s="5">
        <v>1700</v>
      </c>
    </row>
    <row r="2299" s="2" customFormat="1" spans="1:10">
      <c r="A2299" s="6">
        <f>2297</f>
        <v>2297</v>
      </c>
      <c r="B2299" s="6" t="s">
        <v>6156</v>
      </c>
      <c r="C2299" s="6" t="s">
        <v>12</v>
      </c>
      <c r="D2299" s="6" t="s">
        <v>5505</v>
      </c>
      <c r="E2299" s="6" t="s">
        <v>6127</v>
      </c>
      <c r="F2299" s="6" t="s">
        <v>6157</v>
      </c>
      <c r="G2299" s="6" t="s">
        <v>16</v>
      </c>
      <c r="H2299" s="5">
        <v>1</v>
      </c>
      <c r="I2299" s="6" t="s">
        <v>6157</v>
      </c>
      <c r="J2299" s="5">
        <v>573</v>
      </c>
    </row>
    <row r="2300" s="2" customFormat="1" spans="1:10">
      <c r="A2300" s="6">
        <f>2298</f>
        <v>2298</v>
      </c>
      <c r="B2300" s="6" t="s">
        <v>6158</v>
      </c>
      <c r="C2300" s="6" t="s">
        <v>12</v>
      </c>
      <c r="D2300" s="6" t="s">
        <v>5505</v>
      </c>
      <c r="E2300" s="6" t="s">
        <v>6127</v>
      </c>
      <c r="F2300" s="6" t="s">
        <v>6159</v>
      </c>
      <c r="G2300" s="6" t="s">
        <v>16</v>
      </c>
      <c r="H2300" s="5">
        <v>3</v>
      </c>
      <c r="I2300" s="6" t="s">
        <v>6160</v>
      </c>
      <c r="J2300" s="5">
        <v>670</v>
      </c>
    </row>
    <row r="2301" s="2" customFormat="1" spans="1:10">
      <c r="A2301" s="6">
        <f>2299</f>
        <v>2299</v>
      </c>
      <c r="B2301" s="6" t="s">
        <v>6161</v>
      </c>
      <c r="C2301" s="6" t="s">
        <v>12</v>
      </c>
      <c r="D2301" s="6" t="s">
        <v>5505</v>
      </c>
      <c r="E2301" s="6" t="s">
        <v>6127</v>
      </c>
      <c r="F2301" s="6" t="s">
        <v>6162</v>
      </c>
      <c r="G2301" s="6" t="s">
        <v>16</v>
      </c>
      <c r="H2301" s="5">
        <v>3</v>
      </c>
      <c r="I2301" s="6" t="s">
        <v>6163</v>
      </c>
      <c r="J2301" s="5">
        <v>930</v>
      </c>
    </row>
    <row r="2302" s="2" customFormat="1" spans="1:10">
      <c r="A2302" s="6">
        <f>2300</f>
        <v>2300</v>
      </c>
      <c r="B2302" s="6" t="s">
        <v>6164</v>
      </c>
      <c r="C2302" s="6" t="s">
        <v>12</v>
      </c>
      <c r="D2302" s="6" t="s">
        <v>5505</v>
      </c>
      <c r="E2302" s="6" t="s">
        <v>6127</v>
      </c>
      <c r="F2302" s="6" t="s">
        <v>6165</v>
      </c>
      <c r="G2302" s="6" t="s">
        <v>16</v>
      </c>
      <c r="H2302" s="5">
        <v>2</v>
      </c>
      <c r="I2302" s="6" t="s">
        <v>6166</v>
      </c>
      <c r="J2302" s="5">
        <v>609</v>
      </c>
    </row>
    <row r="2303" s="2" customFormat="1" spans="1:10">
      <c r="A2303" s="6">
        <f>2301</f>
        <v>2301</v>
      </c>
      <c r="B2303" s="6" t="s">
        <v>6167</v>
      </c>
      <c r="C2303" s="6" t="s">
        <v>12</v>
      </c>
      <c r="D2303" s="6" t="s">
        <v>5505</v>
      </c>
      <c r="E2303" s="6" t="s">
        <v>6127</v>
      </c>
      <c r="F2303" s="6" t="s">
        <v>6168</v>
      </c>
      <c r="G2303" s="6" t="s">
        <v>16</v>
      </c>
      <c r="H2303" s="5">
        <v>2</v>
      </c>
      <c r="I2303" s="6" t="s">
        <v>6169</v>
      </c>
      <c r="J2303" s="5">
        <v>780</v>
      </c>
    </row>
    <row r="2304" s="2" customFormat="1" spans="1:10">
      <c r="A2304" s="6">
        <f>2302</f>
        <v>2302</v>
      </c>
      <c r="B2304" s="6" t="s">
        <v>6170</v>
      </c>
      <c r="C2304" s="6" t="s">
        <v>12</v>
      </c>
      <c r="D2304" s="6" t="s">
        <v>5505</v>
      </c>
      <c r="E2304" s="6" t="s">
        <v>6127</v>
      </c>
      <c r="F2304" s="6" t="s">
        <v>6171</v>
      </c>
      <c r="G2304" s="6" t="s">
        <v>16</v>
      </c>
      <c r="H2304" s="5">
        <v>1</v>
      </c>
      <c r="I2304" s="6" t="s">
        <v>6171</v>
      </c>
      <c r="J2304" s="5">
        <v>620</v>
      </c>
    </row>
    <row r="2305" s="2" customFormat="1" spans="1:10">
      <c r="A2305" s="6">
        <f>2303</f>
        <v>2303</v>
      </c>
      <c r="B2305" s="6" t="s">
        <v>6172</v>
      </c>
      <c r="C2305" s="6" t="s">
        <v>12</v>
      </c>
      <c r="D2305" s="6" t="s">
        <v>5505</v>
      </c>
      <c r="E2305" s="6" t="s">
        <v>6127</v>
      </c>
      <c r="F2305" s="6" t="s">
        <v>6173</v>
      </c>
      <c r="G2305" s="6" t="s">
        <v>16</v>
      </c>
      <c r="H2305" s="5">
        <v>1</v>
      </c>
      <c r="I2305" s="6" t="s">
        <v>6173</v>
      </c>
      <c r="J2305" s="5">
        <v>480</v>
      </c>
    </row>
    <row r="2306" s="2" customFormat="1" spans="1:10">
      <c r="A2306" s="6">
        <f>2304</f>
        <v>2304</v>
      </c>
      <c r="B2306" s="6" t="s">
        <v>6174</v>
      </c>
      <c r="C2306" s="6" t="s">
        <v>12</v>
      </c>
      <c r="D2306" s="6" t="s">
        <v>5505</v>
      </c>
      <c r="E2306" s="6" t="s">
        <v>6127</v>
      </c>
      <c r="F2306" s="6" t="s">
        <v>6175</v>
      </c>
      <c r="G2306" s="6" t="s">
        <v>16</v>
      </c>
      <c r="H2306" s="5">
        <v>3</v>
      </c>
      <c r="I2306" s="6" t="s">
        <v>6176</v>
      </c>
      <c r="J2306" s="5">
        <v>960</v>
      </c>
    </row>
    <row r="2307" s="2" customFormat="1" spans="1:10">
      <c r="A2307" s="6">
        <f>2305</f>
        <v>2305</v>
      </c>
      <c r="B2307" s="6" t="s">
        <v>6177</v>
      </c>
      <c r="C2307" s="6" t="s">
        <v>12</v>
      </c>
      <c r="D2307" s="6" t="s">
        <v>5505</v>
      </c>
      <c r="E2307" s="6" t="s">
        <v>6127</v>
      </c>
      <c r="F2307" s="6" t="s">
        <v>6178</v>
      </c>
      <c r="G2307" s="6" t="s">
        <v>16</v>
      </c>
      <c r="H2307" s="5">
        <v>1</v>
      </c>
      <c r="I2307" s="6" t="s">
        <v>6178</v>
      </c>
      <c r="J2307" s="5">
        <v>510</v>
      </c>
    </row>
    <row r="2308" s="2" customFormat="1" ht="27" spans="1:10">
      <c r="A2308" s="6">
        <f>2306</f>
        <v>2306</v>
      </c>
      <c r="B2308" s="6" t="s">
        <v>6179</v>
      </c>
      <c r="C2308" s="6" t="s">
        <v>12</v>
      </c>
      <c r="D2308" s="6" t="s">
        <v>5505</v>
      </c>
      <c r="E2308" s="6" t="s">
        <v>6127</v>
      </c>
      <c r="F2308" s="6" t="s">
        <v>6180</v>
      </c>
      <c r="G2308" s="6" t="s">
        <v>16</v>
      </c>
      <c r="H2308" s="5">
        <v>4</v>
      </c>
      <c r="I2308" s="6" t="s">
        <v>6181</v>
      </c>
      <c r="J2308" s="5">
        <v>960</v>
      </c>
    </row>
    <row r="2309" s="2" customFormat="1" spans="1:10">
      <c r="A2309" s="6">
        <f>2307</f>
        <v>2307</v>
      </c>
      <c r="B2309" s="6" t="s">
        <v>6182</v>
      </c>
      <c r="C2309" s="6" t="s">
        <v>12</v>
      </c>
      <c r="D2309" s="6" t="s">
        <v>5505</v>
      </c>
      <c r="E2309" s="6" t="s">
        <v>6127</v>
      </c>
      <c r="F2309" s="6" t="s">
        <v>6183</v>
      </c>
      <c r="G2309" s="6" t="s">
        <v>16</v>
      </c>
      <c r="H2309" s="5">
        <v>1</v>
      </c>
      <c r="I2309" s="6" t="s">
        <v>6183</v>
      </c>
      <c r="J2309" s="5">
        <v>340</v>
      </c>
    </row>
    <row r="2310" s="2" customFormat="1" spans="1:10">
      <c r="A2310" s="6">
        <f>2308</f>
        <v>2308</v>
      </c>
      <c r="B2310" s="6" t="s">
        <v>6184</v>
      </c>
      <c r="C2310" s="6" t="s">
        <v>12</v>
      </c>
      <c r="D2310" s="6" t="s">
        <v>5505</v>
      </c>
      <c r="E2310" s="6" t="s">
        <v>6127</v>
      </c>
      <c r="F2310" s="6" t="s">
        <v>6185</v>
      </c>
      <c r="G2310" s="6" t="s">
        <v>16</v>
      </c>
      <c r="H2310" s="5">
        <v>3</v>
      </c>
      <c r="I2310" s="6" t="s">
        <v>6186</v>
      </c>
      <c r="J2310" s="5">
        <v>860</v>
      </c>
    </row>
    <row r="2311" s="2" customFormat="1" spans="1:10">
      <c r="A2311" s="6">
        <f>2309</f>
        <v>2309</v>
      </c>
      <c r="B2311" s="6" t="s">
        <v>6187</v>
      </c>
      <c r="C2311" s="6" t="s">
        <v>12</v>
      </c>
      <c r="D2311" s="6" t="s">
        <v>5505</v>
      </c>
      <c r="E2311" s="6" t="s">
        <v>6127</v>
      </c>
      <c r="F2311" s="6" t="s">
        <v>6188</v>
      </c>
      <c r="G2311" s="6" t="s">
        <v>16</v>
      </c>
      <c r="H2311" s="5">
        <v>1</v>
      </c>
      <c r="I2311" s="6" t="s">
        <v>6188</v>
      </c>
      <c r="J2311" s="5">
        <v>620</v>
      </c>
    </row>
    <row r="2312" s="2" customFormat="1" spans="1:10">
      <c r="A2312" s="6">
        <f>2310</f>
        <v>2310</v>
      </c>
      <c r="B2312" s="6" t="s">
        <v>6189</v>
      </c>
      <c r="C2312" s="6" t="s">
        <v>12</v>
      </c>
      <c r="D2312" s="6" t="s">
        <v>5505</v>
      </c>
      <c r="E2312" s="6" t="s">
        <v>6127</v>
      </c>
      <c r="F2312" s="6" t="s">
        <v>6190</v>
      </c>
      <c r="G2312" s="6" t="s">
        <v>16</v>
      </c>
      <c r="H2312" s="5">
        <v>2</v>
      </c>
      <c r="I2312" s="6" t="s">
        <v>6191</v>
      </c>
      <c r="J2312" s="5">
        <v>680</v>
      </c>
    </row>
    <row r="2313" s="2" customFormat="1" spans="1:10">
      <c r="A2313" s="6">
        <f>2311</f>
        <v>2311</v>
      </c>
      <c r="B2313" s="6" t="s">
        <v>6192</v>
      </c>
      <c r="C2313" s="6" t="s">
        <v>12</v>
      </c>
      <c r="D2313" s="6" t="s">
        <v>5505</v>
      </c>
      <c r="E2313" s="6" t="s">
        <v>6127</v>
      </c>
      <c r="F2313" s="6" t="s">
        <v>6193</v>
      </c>
      <c r="G2313" s="6" t="s">
        <v>16</v>
      </c>
      <c r="H2313" s="5">
        <v>3</v>
      </c>
      <c r="I2313" s="6" t="s">
        <v>6194</v>
      </c>
      <c r="J2313" s="5">
        <v>635</v>
      </c>
    </row>
    <row r="2314" s="2" customFormat="1" spans="1:10">
      <c r="A2314" s="6">
        <f>2312</f>
        <v>2312</v>
      </c>
      <c r="B2314" s="6" t="s">
        <v>6195</v>
      </c>
      <c r="C2314" s="6" t="s">
        <v>12</v>
      </c>
      <c r="D2314" s="6" t="s">
        <v>5505</v>
      </c>
      <c r="E2314" s="6" t="s">
        <v>6127</v>
      </c>
      <c r="F2314" s="6" t="s">
        <v>6196</v>
      </c>
      <c r="G2314" s="6" t="s">
        <v>16</v>
      </c>
      <c r="H2314" s="5">
        <v>1</v>
      </c>
      <c r="I2314" s="6" t="s">
        <v>6196</v>
      </c>
      <c r="J2314" s="5">
        <v>548</v>
      </c>
    </row>
    <row r="2315" s="2" customFormat="1" spans="1:10">
      <c r="A2315" s="6">
        <f>2313</f>
        <v>2313</v>
      </c>
      <c r="B2315" s="6" t="s">
        <v>6197</v>
      </c>
      <c r="C2315" s="6" t="s">
        <v>12</v>
      </c>
      <c r="D2315" s="6" t="s">
        <v>5505</v>
      </c>
      <c r="E2315" s="6" t="s">
        <v>6127</v>
      </c>
      <c r="F2315" s="6" t="s">
        <v>6198</v>
      </c>
      <c r="G2315" s="6" t="s">
        <v>16</v>
      </c>
      <c r="H2315" s="5">
        <v>1</v>
      </c>
      <c r="I2315" s="6" t="s">
        <v>6198</v>
      </c>
      <c r="J2315" s="5">
        <v>368</v>
      </c>
    </row>
    <row r="2316" s="2" customFormat="1" spans="1:10">
      <c r="A2316" s="6">
        <f>2314</f>
        <v>2314</v>
      </c>
      <c r="B2316" s="6" t="s">
        <v>6199</v>
      </c>
      <c r="C2316" s="6" t="s">
        <v>12</v>
      </c>
      <c r="D2316" s="6" t="s">
        <v>5505</v>
      </c>
      <c r="E2316" s="6" t="s">
        <v>6127</v>
      </c>
      <c r="F2316" s="6" t="s">
        <v>6200</v>
      </c>
      <c r="G2316" s="6" t="s">
        <v>16</v>
      </c>
      <c r="H2316" s="5">
        <v>3</v>
      </c>
      <c r="I2316" s="6" t="s">
        <v>6201</v>
      </c>
      <c r="J2316" s="5">
        <v>1580</v>
      </c>
    </row>
    <row r="2317" s="2" customFormat="1" ht="27" spans="1:10">
      <c r="A2317" s="6">
        <f>2315</f>
        <v>2315</v>
      </c>
      <c r="B2317" s="6" t="s">
        <v>6202</v>
      </c>
      <c r="C2317" s="6" t="s">
        <v>12</v>
      </c>
      <c r="D2317" s="6" t="s">
        <v>5505</v>
      </c>
      <c r="E2317" s="6" t="s">
        <v>6127</v>
      </c>
      <c r="F2317" s="6" t="s">
        <v>6203</v>
      </c>
      <c r="G2317" s="6" t="s">
        <v>16</v>
      </c>
      <c r="H2317" s="5">
        <v>4</v>
      </c>
      <c r="I2317" s="6" t="s">
        <v>6204</v>
      </c>
      <c r="J2317" s="5">
        <v>896</v>
      </c>
    </row>
    <row r="2318" s="2" customFormat="1" spans="1:10">
      <c r="A2318" s="6">
        <f>2316</f>
        <v>2316</v>
      </c>
      <c r="B2318" s="6" t="s">
        <v>6205</v>
      </c>
      <c r="C2318" s="6" t="s">
        <v>12</v>
      </c>
      <c r="D2318" s="6" t="s">
        <v>5505</v>
      </c>
      <c r="E2318" s="6" t="s">
        <v>6127</v>
      </c>
      <c r="F2318" s="6" t="s">
        <v>6206</v>
      </c>
      <c r="G2318" s="6" t="s">
        <v>16</v>
      </c>
      <c r="H2318" s="5">
        <v>3</v>
      </c>
      <c r="I2318" s="6" t="s">
        <v>6207</v>
      </c>
      <c r="J2318" s="5">
        <v>660</v>
      </c>
    </row>
    <row r="2319" s="2" customFormat="1" spans="1:10">
      <c r="A2319" s="6">
        <f>2317</f>
        <v>2317</v>
      </c>
      <c r="B2319" s="6" t="s">
        <v>6208</v>
      </c>
      <c r="C2319" s="6" t="s">
        <v>12</v>
      </c>
      <c r="D2319" s="6" t="s">
        <v>5505</v>
      </c>
      <c r="E2319" s="6" t="s">
        <v>6127</v>
      </c>
      <c r="F2319" s="6" t="s">
        <v>6209</v>
      </c>
      <c r="G2319" s="6" t="s">
        <v>16</v>
      </c>
      <c r="H2319" s="5">
        <v>1</v>
      </c>
      <c r="I2319" s="6" t="s">
        <v>6209</v>
      </c>
      <c r="J2319" s="5">
        <v>395</v>
      </c>
    </row>
    <row r="2320" s="2" customFormat="1" spans="1:10">
      <c r="A2320" s="6">
        <f>2318</f>
        <v>2318</v>
      </c>
      <c r="B2320" s="6" t="s">
        <v>6210</v>
      </c>
      <c r="C2320" s="6" t="s">
        <v>12</v>
      </c>
      <c r="D2320" s="6" t="s">
        <v>5505</v>
      </c>
      <c r="E2320" s="6" t="s">
        <v>6127</v>
      </c>
      <c r="F2320" s="6" t="s">
        <v>6211</v>
      </c>
      <c r="G2320" s="6" t="s">
        <v>16</v>
      </c>
      <c r="H2320" s="5">
        <v>1</v>
      </c>
      <c r="I2320" s="6" t="s">
        <v>6211</v>
      </c>
      <c r="J2320" s="5">
        <v>350</v>
      </c>
    </row>
    <row r="2321" s="2" customFormat="1" ht="27" spans="1:10">
      <c r="A2321" s="6">
        <f>2319</f>
        <v>2319</v>
      </c>
      <c r="B2321" s="6" t="s">
        <v>6212</v>
      </c>
      <c r="C2321" s="6" t="s">
        <v>12</v>
      </c>
      <c r="D2321" s="6" t="s">
        <v>5505</v>
      </c>
      <c r="E2321" s="6" t="s">
        <v>6127</v>
      </c>
      <c r="F2321" s="6" t="s">
        <v>6213</v>
      </c>
      <c r="G2321" s="6" t="s">
        <v>16</v>
      </c>
      <c r="H2321" s="5">
        <v>4</v>
      </c>
      <c r="I2321" s="6" t="s">
        <v>6214</v>
      </c>
      <c r="J2321" s="5">
        <v>1140</v>
      </c>
    </row>
    <row r="2322" s="2" customFormat="1" spans="1:10">
      <c r="A2322" s="6">
        <f>2320</f>
        <v>2320</v>
      </c>
      <c r="B2322" s="6" t="s">
        <v>6215</v>
      </c>
      <c r="C2322" s="6" t="s">
        <v>12</v>
      </c>
      <c r="D2322" s="6" t="s">
        <v>5505</v>
      </c>
      <c r="E2322" s="6" t="s">
        <v>6127</v>
      </c>
      <c r="F2322" s="6" t="s">
        <v>6216</v>
      </c>
      <c r="G2322" s="6" t="s">
        <v>16</v>
      </c>
      <c r="H2322" s="5">
        <v>2</v>
      </c>
      <c r="I2322" s="6" t="s">
        <v>6217</v>
      </c>
      <c r="J2322" s="5">
        <v>905</v>
      </c>
    </row>
    <row r="2323" s="2" customFormat="1" spans="1:10">
      <c r="A2323" s="6">
        <f>2321</f>
        <v>2321</v>
      </c>
      <c r="B2323" s="6" t="s">
        <v>6218</v>
      </c>
      <c r="C2323" s="6" t="s">
        <v>12</v>
      </c>
      <c r="D2323" s="6" t="s">
        <v>5505</v>
      </c>
      <c r="E2323" s="6" t="s">
        <v>6127</v>
      </c>
      <c r="F2323" s="6" t="s">
        <v>6219</v>
      </c>
      <c r="G2323" s="6" t="s">
        <v>16</v>
      </c>
      <c r="H2323" s="5">
        <v>2</v>
      </c>
      <c r="I2323" s="6" t="s">
        <v>6220</v>
      </c>
      <c r="J2323" s="5">
        <v>760</v>
      </c>
    </row>
    <row r="2324" s="2" customFormat="1" spans="1:10">
      <c r="A2324" s="6">
        <f>2322</f>
        <v>2322</v>
      </c>
      <c r="B2324" s="6" t="s">
        <v>6221</v>
      </c>
      <c r="C2324" s="6" t="s">
        <v>12</v>
      </c>
      <c r="D2324" s="6" t="s">
        <v>5505</v>
      </c>
      <c r="E2324" s="6" t="s">
        <v>6127</v>
      </c>
      <c r="F2324" s="6" t="s">
        <v>6222</v>
      </c>
      <c r="G2324" s="6" t="s">
        <v>16</v>
      </c>
      <c r="H2324" s="5">
        <v>1</v>
      </c>
      <c r="I2324" s="6" t="s">
        <v>6222</v>
      </c>
      <c r="J2324" s="5">
        <v>440</v>
      </c>
    </row>
    <row r="2325" s="2" customFormat="1" spans="1:10">
      <c r="A2325" s="6">
        <f>2323</f>
        <v>2323</v>
      </c>
      <c r="B2325" s="6" t="s">
        <v>6223</v>
      </c>
      <c r="C2325" s="6" t="s">
        <v>12</v>
      </c>
      <c r="D2325" s="6" t="s">
        <v>5505</v>
      </c>
      <c r="E2325" s="6" t="s">
        <v>6127</v>
      </c>
      <c r="F2325" s="6" t="s">
        <v>6224</v>
      </c>
      <c r="G2325" s="6" t="s">
        <v>16</v>
      </c>
      <c r="H2325" s="5">
        <v>2</v>
      </c>
      <c r="I2325" s="6" t="s">
        <v>6225</v>
      </c>
      <c r="J2325" s="5">
        <v>444</v>
      </c>
    </row>
    <row r="2326" s="2" customFormat="1" ht="27" spans="1:10">
      <c r="A2326" s="6">
        <f>2324</f>
        <v>2324</v>
      </c>
      <c r="B2326" s="6" t="s">
        <v>6226</v>
      </c>
      <c r="C2326" s="6" t="s">
        <v>12</v>
      </c>
      <c r="D2326" s="6" t="s">
        <v>5505</v>
      </c>
      <c r="E2326" s="6" t="s">
        <v>6127</v>
      </c>
      <c r="F2326" s="6" t="s">
        <v>6227</v>
      </c>
      <c r="G2326" s="6" t="s">
        <v>16</v>
      </c>
      <c r="H2326" s="5">
        <v>4</v>
      </c>
      <c r="I2326" s="6" t="s">
        <v>6228</v>
      </c>
      <c r="J2326" s="5">
        <v>1048</v>
      </c>
    </row>
    <row r="2327" s="2" customFormat="1" spans="1:10">
      <c r="A2327" s="6">
        <f>2325</f>
        <v>2325</v>
      </c>
      <c r="B2327" s="6" t="s">
        <v>6229</v>
      </c>
      <c r="C2327" s="6" t="s">
        <v>12</v>
      </c>
      <c r="D2327" s="6" t="s">
        <v>5505</v>
      </c>
      <c r="E2327" s="6" t="s">
        <v>6127</v>
      </c>
      <c r="F2327" s="6" t="s">
        <v>6230</v>
      </c>
      <c r="G2327" s="6" t="s">
        <v>16</v>
      </c>
      <c r="H2327" s="5">
        <v>2</v>
      </c>
      <c r="I2327" s="6" t="s">
        <v>6231</v>
      </c>
      <c r="J2327" s="5">
        <v>680</v>
      </c>
    </row>
    <row r="2328" s="2" customFormat="1" spans="1:10">
      <c r="A2328" s="6">
        <f>2326</f>
        <v>2326</v>
      </c>
      <c r="B2328" s="6" t="s">
        <v>6232</v>
      </c>
      <c r="C2328" s="6" t="s">
        <v>12</v>
      </c>
      <c r="D2328" s="6" t="s">
        <v>5505</v>
      </c>
      <c r="E2328" s="6" t="s">
        <v>6127</v>
      </c>
      <c r="F2328" s="6" t="s">
        <v>6233</v>
      </c>
      <c r="G2328" s="6" t="s">
        <v>16</v>
      </c>
      <c r="H2328" s="5">
        <v>2</v>
      </c>
      <c r="I2328" s="6" t="s">
        <v>6234</v>
      </c>
      <c r="J2328" s="5">
        <v>630</v>
      </c>
    </row>
    <row r="2329" s="2" customFormat="1" spans="1:10">
      <c r="A2329" s="6">
        <f>2327</f>
        <v>2327</v>
      </c>
      <c r="B2329" s="6" t="s">
        <v>6235</v>
      </c>
      <c r="C2329" s="6" t="s">
        <v>12</v>
      </c>
      <c r="D2329" s="6" t="s">
        <v>5505</v>
      </c>
      <c r="E2329" s="6" t="s">
        <v>6127</v>
      </c>
      <c r="F2329" s="6" t="s">
        <v>6236</v>
      </c>
      <c r="G2329" s="6" t="s">
        <v>16</v>
      </c>
      <c r="H2329" s="5">
        <v>2</v>
      </c>
      <c r="I2329" s="6" t="s">
        <v>6237</v>
      </c>
      <c r="J2329" s="5">
        <v>862</v>
      </c>
    </row>
    <row r="2330" s="2" customFormat="1" spans="1:10">
      <c r="A2330" s="6">
        <f>2328</f>
        <v>2328</v>
      </c>
      <c r="B2330" s="6" t="s">
        <v>6238</v>
      </c>
      <c r="C2330" s="6" t="s">
        <v>12</v>
      </c>
      <c r="D2330" s="6" t="s">
        <v>5505</v>
      </c>
      <c r="E2330" s="6" t="s">
        <v>6127</v>
      </c>
      <c r="F2330" s="6" t="s">
        <v>6239</v>
      </c>
      <c r="G2330" s="6" t="s">
        <v>16</v>
      </c>
      <c r="H2330" s="5">
        <v>3</v>
      </c>
      <c r="I2330" s="6" t="s">
        <v>6240</v>
      </c>
      <c r="J2330" s="5">
        <v>778</v>
      </c>
    </row>
    <row r="2331" s="2" customFormat="1" spans="1:10">
      <c r="A2331" s="6">
        <f>2329</f>
        <v>2329</v>
      </c>
      <c r="B2331" s="6" t="s">
        <v>6241</v>
      </c>
      <c r="C2331" s="6" t="s">
        <v>12</v>
      </c>
      <c r="D2331" s="6" t="s">
        <v>5505</v>
      </c>
      <c r="E2331" s="6" t="s">
        <v>6127</v>
      </c>
      <c r="F2331" s="6" t="s">
        <v>6242</v>
      </c>
      <c r="G2331" s="6" t="s">
        <v>16</v>
      </c>
      <c r="H2331" s="5">
        <v>3</v>
      </c>
      <c r="I2331" s="6" t="s">
        <v>6243</v>
      </c>
      <c r="J2331" s="5">
        <v>720</v>
      </c>
    </row>
    <row r="2332" s="2" customFormat="1" spans="1:10">
      <c r="A2332" s="6">
        <f>2330</f>
        <v>2330</v>
      </c>
      <c r="B2332" s="6" t="s">
        <v>6244</v>
      </c>
      <c r="C2332" s="6" t="s">
        <v>12</v>
      </c>
      <c r="D2332" s="6" t="s">
        <v>5505</v>
      </c>
      <c r="E2332" s="6" t="s">
        <v>6127</v>
      </c>
      <c r="F2332" s="6" t="s">
        <v>6245</v>
      </c>
      <c r="G2332" s="6" t="s">
        <v>16</v>
      </c>
      <c r="H2332" s="5">
        <v>3</v>
      </c>
      <c r="I2332" s="6" t="s">
        <v>6246</v>
      </c>
      <c r="J2332" s="5">
        <v>1180</v>
      </c>
    </row>
    <row r="2333" s="2" customFormat="1" spans="1:10">
      <c r="A2333" s="6">
        <f>2331</f>
        <v>2331</v>
      </c>
      <c r="B2333" s="6" t="s">
        <v>6247</v>
      </c>
      <c r="C2333" s="6" t="s">
        <v>12</v>
      </c>
      <c r="D2333" s="6" t="s">
        <v>5505</v>
      </c>
      <c r="E2333" s="6" t="s">
        <v>6127</v>
      </c>
      <c r="F2333" s="6" t="s">
        <v>6248</v>
      </c>
      <c r="G2333" s="6" t="s">
        <v>16</v>
      </c>
      <c r="H2333" s="5">
        <v>3</v>
      </c>
      <c r="I2333" s="6" t="s">
        <v>6249</v>
      </c>
      <c r="J2333" s="5">
        <v>1180</v>
      </c>
    </row>
    <row r="2334" s="2" customFormat="1" spans="1:10">
      <c r="A2334" s="6">
        <f>2332</f>
        <v>2332</v>
      </c>
      <c r="B2334" s="6" t="s">
        <v>6250</v>
      </c>
      <c r="C2334" s="6" t="s">
        <v>12</v>
      </c>
      <c r="D2334" s="6" t="s">
        <v>5505</v>
      </c>
      <c r="E2334" s="6" t="s">
        <v>6127</v>
      </c>
      <c r="F2334" s="6" t="s">
        <v>6251</v>
      </c>
      <c r="G2334" s="6" t="s">
        <v>16</v>
      </c>
      <c r="H2334" s="5">
        <v>3</v>
      </c>
      <c r="I2334" s="6" t="s">
        <v>6252</v>
      </c>
      <c r="J2334" s="5">
        <v>1580</v>
      </c>
    </row>
    <row r="2335" s="2" customFormat="1" spans="1:10">
      <c r="A2335" s="6">
        <f>2333</f>
        <v>2333</v>
      </c>
      <c r="B2335" s="6" t="s">
        <v>6253</v>
      </c>
      <c r="C2335" s="6" t="s">
        <v>12</v>
      </c>
      <c r="D2335" s="6" t="s">
        <v>5505</v>
      </c>
      <c r="E2335" s="6" t="s">
        <v>6127</v>
      </c>
      <c r="F2335" s="6" t="s">
        <v>6254</v>
      </c>
      <c r="G2335" s="6" t="s">
        <v>16</v>
      </c>
      <c r="H2335" s="5">
        <v>2</v>
      </c>
      <c r="I2335" s="6" t="s">
        <v>6255</v>
      </c>
      <c r="J2335" s="5">
        <v>541</v>
      </c>
    </row>
    <row r="2336" s="2" customFormat="1" ht="27" spans="1:10">
      <c r="A2336" s="6">
        <f>2334</f>
        <v>2334</v>
      </c>
      <c r="B2336" s="6" t="s">
        <v>6256</v>
      </c>
      <c r="C2336" s="6" t="s">
        <v>12</v>
      </c>
      <c r="D2336" s="6" t="s">
        <v>5505</v>
      </c>
      <c r="E2336" s="6" t="s">
        <v>6127</v>
      </c>
      <c r="F2336" s="6" t="s">
        <v>6257</v>
      </c>
      <c r="G2336" s="6" t="s">
        <v>16</v>
      </c>
      <c r="H2336" s="5">
        <v>5</v>
      </c>
      <c r="I2336" s="6" t="s">
        <v>6258</v>
      </c>
      <c r="J2336" s="5">
        <v>1147</v>
      </c>
    </row>
    <row r="2337" s="2" customFormat="1" ht="27" spans="1:10">
      <c r="A2337" s="6">
        <f>2335</f>
        <v>2335</v>
      </c>
      <c r="B2337" s="6" t="s">
        <v>6259</v>
      </c>
      <c r="C2337" s="6" t="s">
        <v>12</v>
      </c>
      <c r="D2337" s="6" t="s">
        <v>5505</v>
      </c>
      <c r="E2337" s="6" t="s">
        <v>6127</v>
      </c>
      <c r="F2337" s="6" t="s">
        <v>1973</v>
      </c>
      <c r="G2337" s="6" t="s">
        <v>16</v>
      </c>
      <c r="H2337" s="5">
        <v>4</v>
      </c>
      <c r="I2337" s="6" t="s">
        <v>6260</v>
      </c>
      <c r="J2337" s="5">
        <v>840</v>
      </c>
    </row>
    <row r="2338" s="2" customFormat="1" spans="1:10">
      <c r="A2338" s="6">
        <f>2336</f>
        <v>2336</v>
      </c>
      <c r="B2338" s="6" t="s">
        <v>6261</v>
      </c>
      <c r="C2338" s="6" t="s">
        <v>12</v>
      </c>
      <c r="D2338" s="6" t="s">
        <v>5505</v>
      </c>
      <c r="E2338" s="6" t="s">
        <v>6127</v>
      </c>
      <c r="F2338" s="6" t="s">
        <v>6262</v>
      </c>
      <c r="G2338" s="6" t="s">
        <v>16</v>
      </c>
      <c r="H2338" s="5">
        <v>1</v>
      </c>
      <c r="I2338" s="6" t="s">
        <v>6262</v>
      </c>
      <c r="J2338" s="5">
        <v>560</v>
      </c>
    </row>
    <row r="2339" s="2" customFormat="1" spans="1:10">
      <c r="A2339" s="6">
        <f>2337</f>
        <v>2337</v>
      </c>
      <c r="B2339" s="6" t="s">
        <v>6263</v>
      </c>
      <c r="C2339" s="6" t="s">
        <v>12</v>
      </c>
      <c r="D2339" s="6" t="s">
        <v>5505</v>
      </c>
      <c r="E2339" s="6" t="s">
        <v>6127</v>
      </c>
      <c r="F2339" s="6" t="s">
        <v>6264</v>
      </c>
      <c r="G2339" s="6" t="s">
        <v>16</v>
      </c>
      <c r="H2339" s="5">
        <v>2</v>
      </c>
      <c r="I2339" s="6" t="s">
        <v>6265</v>
      </c>
      <c r="J2339" s="5">
        <v>576</v>
      </c>
    </row>
    <row r="2340" s="2" customFormat="1" spans="1:10">
      <c r="A2340" s="6">
        <f>2338</f>
        <v>2338</v>
      </c>
      <c r="B2340" s="6" t="s">
        <v>6266</v>
      </c>
      <c r="C2340" s="6" t="s">
        <v>12</v>
      </c>
      <c r="D2340" s="6" t="s">
        <v>5505</v>
      </c>
      <c r="E2340" s="6" t="s">
        <v>6127</v>
      </c>
      <c r="F2340" s="6" t="s">
        <v>6267</v>
      </c>
      <c r="G2340" s="6" t="s">
        <v>16</v>
      </c>
      <c r="H2340" s="5">
        <v>2</v>
      </c>
      <c r="I2340" s="6" t="s">
        <v>6268</v>
      </c>
      <c r="J2340" s="5">
        <v>680</v>
      </c>
    </row>
    <row r="2341" s="2" customFormat="1" spans="1:10">
      <c r="A2341" s="6">
        <f>2339</f>
        <v>2339</v>
      </c>
      <c r="B2341" s="6" t="s">
        <v>6269</v>
      </c>
      <c r="C2341" s="6" t="s">
        <v>12</v>
      </c>
      <c r="D2341" s="6" t="s">
        <v>5505</v>
      </c>
      <c r="E2341" s="6" t="s">
        <v>6127</v>
      </c>
      <c r="F2341" s="6" t="s">
        <v>6270</v>
      </c>
      <c r="G2341" s="6" t="s">
        <v>16</v>
      </c>
      <c r="H2341" s="5">
        <v>1</v>
      </c>
      <c r="I2341" s="6" t="s">
        <v>6270</v>
      </c>
      <c r="J2341" s="5">
        <v>620</v>
      </c>
    </row>
    <row r="2342" s="2" customFormat="1" spans="1:10">
      <c r="A2342" s="6">
        <f>2340</f>
        <v>2340</v>
      </c>
      <c r="B2342" s="6" t="s">
        <v>6271</v>
      </c>
      <c r="C2342" s="6" t="s">
        <v>12</v>
      </c>
      <c r="D2342" s="6" t="s">
        <v>5505</v>
      </c>
      <c r="E2342" s="6" t="s">
        <v>6127</v>
      </c>
      <c r="F2342" s="6" t="s">
        <v>6272</v>
      </c>
      <c r="G2342" s="6" t="s">
        <v>16</v>
      </c>
      <c r="H2342" s="5">
        <v>2</v>
      </c>
      <c r="I2342" s="6" t="s">
        <v>6273</v>
      </c>
      <c r="J2342" s="5">
        <v>1146</v>
      </c>
    </row>
    <row r="2343" s="2" customFormat="1" ht="27" spans="1:10">
      <c r="A2343" s="6">
        <f>2341</f>
        <v>2341</v>
      </c>
      <c r="B2343" s="6" t="s">
        <v>6274</v>
      </c>
      <c r="C2343" s="6" t="s">
        <v>12</v>
      </c>
      <c r="D2343" s="6" t="s">
        <v>5505</v>
      </c>
      <c r="E2343" s="6" t="s">
        <v>6127</v>
      </c>
      <c r="F2343" s="6" t="s">
        <v>6275</v>
      </c>
      <c r="G2343" s="6" t="s">
        <v>16</v>
      </c>
      <c r="H2343" s="5">
        <v>4</v>
      </c>
      <c r="I2343" s="6" t="s">
        <v>6276</v>
      </c>
      <c r="J2343" s="5">
        <v>848</v>
      </c>
    </row>
    <row r="2344" s="2" customFormat="1" spans="1:10">
      <c r="A2344" s="6">
        <f>2342</f>
        <v>2342</v>
      </c>
      <c r="B2344" s="6" t="s">
        <v>6277</v>
      </c>
      <c r="C2344" s="6" t="s">
        <v>12</v>
      </c>
      <c r="D2344" s="6" t="s">
        <v>5505</v>
      </c>
      <c r="E2344" s="6" t="s">
        <v>6127</v>
      </c>
      <c r="F2344" s="6" t="s">
        <v>6278</v>
      </c>
      <c r="G2344" s="6" t="s">
        <v>16</v>
      </c>
      <c r="H2344" s="5">
        <v>1</v>
      </c>
      <c r="I2344" s="6" t="s">
        <v>6278</v>
      </c>
      <c r="J2344" s="5">
        <v>436</v>
      </c>
    </row>
    <row r="2345" s="2" customFormat="1" spans="1:10">
      <c r="A2345" s="6">
        <f>2343</f>
        <v>2343</v>
      </c>
      <c r="B2345" s="6" t="s">
        <v>6279</v>
      </c>
      <c r="C2345" s="6" t="s">
        <v>12</v>
      </c>
      <c r="D2345" s="6" t="s">
        <v>5505</v>
      </c>
      <c r="E2345" s="6" t="s">
        <v>6127</v>
      </c>
      <c r="F2345" s="6" t="s">
        <v>6280</v>
      </c>
      <c r="G2345" s="6" t="s">
        <v>16</v>
      </c>
      <c r="H2345" s="5">
        <v>1</v>
      </c>
      <c r="I2345" s="6" t="s">
        <v>6280</v>
      </c>
      <c r="J2345" s="5">
        <v>590</v>
      </c>
    </row>
    <row r="2346" s="2" customFormat="1" spans="1:10">
      <c r="A2346" s="6">
        <f>2344</f>
        <v>2344</v>
      </c>
      <c r="B2346" s="6" t="s">
        <v>6281</v>
      </c>
      <c r="C2346" s="6" t="s">
        <v>12</v>
      </c>
      <c r="D2346" s="6" t="s">
        <v>5505</v>
      </c>
      <c r="E2346" s="6" t="s">
        <v>6127</v>
      </c>
      <c r="F2346" s="6" t="s">
        <v>6282</v>
      </c>
      <c r="G2346" s="6" t="s">
        <v>16</v>
      </c>
      <c r="H2346" s="5">
        <v>1</v>
      </c>
      <c r="I2346" s="6" t="s">
        <v>6282</v>
      </c>
      <c r="J2346" s="5">
        <v>395</v>
      </c>
    </row>
    <row r="2347" s="2" customFormat="1" spans="1:10">
      <c r="A2347" s="6">
        <f>2345</f>
        <v>2345</v>
      </c>
      <c r="B2347" s="6" t="s">
        <v>6283</v>
      </c>
      <c r="C2347" s="6" t="s">
        <v>12</v>
      </c>
      <c r="D2347" s="6" t="s">
        <v>5505</v>
      </c>
      <c r="E2347" s="6" t="s">
        <v>6127</v>
      </c>
      <c r="F2347" s="6" t="s">
        <v>6284</v>
      </c>
      <c r="G2347" s="6" t="s">
        <v>16</v>
      </c>
      <c r="H2347" s="5">
        <v>1</v>
      </c>
      <c r="I2347" s="6" t="s">
        <v>6284</v>
      </c>
      <c r="J2347" s="5">
        <v>585</v>
      </c>
    </row>
    <row r="2348" s="2" customFormat="1" ht="27" spans="1:10">
      <c r="A2348" s="6">
        <f>2346</f>
        <v>2346</v>
      </c>
      <c r="B2348" s="6" t="s">
        <v>6285</v>
      </c>
      <c r="C2348" s="6" t="s">
        <v>12</v>
      </c>
      <c r="D2348" s="6" t="s">
        <v>5505</v>
      </c>
      <c r="E2348" s="6" t="s">
        <v>6127</v>
      </c>
      <c r="F2348" s="6" t="s">
        <v>6286</v>
      </c>
      <c r="G2348" s="6" t="s">
        <v>16</v>
      </c>
      <c r="H2348" s="5">
        <v>5</v>
      </c>
      <c r="I2348" s="6" t="s">
        <v>6287</v>
      </c>
      <c r="J2348" s="5">
        <v>1500</v>
      </c>
    </row>
    <row r="2349" s="2" customFormat="1" ht="27" spans="1:10">
      <c r="A2349" s="6">
        <f>2347</f>
        <v>2347</v>
      </c>
      <c r="B2349" s="6" t="s">
        <v>6288</v>
      </c>
      <c r="C2349" s="6" t="s">
        <v>12</v>
      </c>
      <c r="D2349" s="6" t="s">
        <v>5505</v>
      </c>
      <c r="E2349" s="6" t="s">
        <v>6127</v>
      </c>
      <c r="F2349" s="6" t="s">
        <v>6289</v>
      </c>
      <c r="G2349" s="6" t="s">
        <v>16</v>
      </c>
      <c r="H2349" s="5">
        <v>4</v>
      </c>
      <c r="I2349" s="6" t="s">
        <v>6290</v>
      </c>
      <c r="J2349" s="5">
        <v>1201</v>
      </c>
    </row>
    <row r="2350" s="2" customFormat="1" spans="1:10">
      <c r="A2350" s="6">
        <f>2348</f>
        <v>2348</v>
      </c>
      <c r="B2350" s="6" t="s">
        <v>6291</v>
      </c>
      <c r="C2350" s="6" t="s">
        <v>12</v>
      </c>
      <c r="D2350" s="6" t="s">
        <v>5505</v>
      </c>
      <c r="E2350" s="6" t="s">
        <v>6127</v>
      </c>
      <c r="F2350" s="6" t="s">
        <v>6292</v>
      </c>
      <c r="G2350" s="6" t="s">
        <v>16</v>
      </c>
      <c r="H2350" s="5">
        <v>1</v>
      </c>
      <c r="I2350" s="6" t="s">
        <v>6292</v>
      </c>
      <c r="J2350" s="5">
        <v>526</v>
      </c>
    </row>
    <row r="2351" s="2" customFormat="1" spans="1:10">
      <c r="A2351" s="6">
        <f>2349</f>
        <v>2349</v>
      </c>
      <c r="B2351" s="6" t="s">
        <v>6293</v>
      </c>
      <c r="C2351" s="6" t="s">
        <v>12</v>
      </c>
      <c r="D2351" s="6" t="s">
        <v>5505</v>
      </c>
      <c r="E2351" s="6" t="s">
        <v>6127</v>
      </c>
      <c r="F2351" s="6" t="s">
        <v>6294</v>
      </c>
      <c r="G2351" s="6" t="s">
        <v>16</v>
      </c>
      <c r="H2351" s="5">
        <v>1</v>
      </c>
      <c r="I2351" s="6" t="s">
        <v>6294</v>
      </c>
      <c r="J2351" s="5">
        <v>310</v>
      </c>
    </row>
    <row r="2352" s="2" customFormat="1" spans="1:10">
      <c r="A2352" s="6">
        <f>2350</f>
        <v>2350</v>
      </c>
      <c r="B2352" s="6" t="s">
        <v>6295</v>
      </c>
      <c r="C2352" s="6" t="s">
        <v>12</v>
      </c>
      <c r="D2352" s="6" t="s">
        <v>5505</v>
      </c>
      <c r="E2352" s="6" t="s">
        <v>6127</v>
      </c>
      <c r="F2352" s="6" t="s">
        <v>6296</v>
      </c>
      <c r="G2352" s="6" t="s">
        <v>16</v>
      </c>
      <c r="H2352" s="5">
        <v>2</v>
      </c>
      <c r="I2352" s="6" t="s">
        <v>6297</v>
      </c>
      <c r="J2352" s="5">
        <v>500</v>
      </c>
    </row>
    <row r="2353" s="2" customFormat="1" spans="1:10">
      <c r="A2353" s="6">
        <f>2351</f>
        <v>2351</v>
      </c>
      <c r="B2353" s="6" t="s">
        <v>6298</v>
      </c>
      <c r="C2353" s="6" t="s">
        <v>12</v>
      </c>
      <c r="D2353" s="6" t="s">
        <v>5505</v>
      </c>
      <c r="E2353" s="6" t="s">
        <v>6127</v>
      </c>
      <c r="F2353" s="6" t="s">
        <v>6299</v>
      </c>
      <c r="G2353" s="6" t="s">
        <v>16</v>
      </c>
      <c r="H2353" s="5">
        <v>3</v>
      </c>
      <c r="I2353" s="6" t="s">
        <v>6300</v>
      </c>
      <c r="J2353" s="5">
        <v>984</v>
      </c>
    </row>
    <row r="2354" s="2" customFormat="1" spans="1:10">
      <c r="A2354" s="6">
        <f>2352</f>
        <v>2352</v>
      </c>
      <c r="B2354" s="6" t="s">
        <v>6301</v>
      </c>
      <c r="C2354" s="6" t="s">
        <v>12</v>
      </c>
      <c r="D2354" s="6" t="s">
        <v>5505</v>
      </c>
      <c r="E2354" s="6" t="s">
        <v>6127</v>
      </c>
      <c r="F2354" s="6" t="s">
        <v>6302</v>
      </c>
      <c r="G2354" s="6" t="s">
        <v>16</v>
      </c>
      <c r="H2354" s="5">
        <v>2</v>
      </c>
      <c r="I2354" s="6" t="s">
        <v>6303</v>
      </c>
      <c r="J2354" s="5">
        <v>444</v>
      </c>
    </row>
    <row r="2355" s="2" customFormat="1" spans="1:10">
      <c r="A2355" s="6">
        <f>2353</f>
        <v>2353</v>
      </c>
      <c r="B2355" s="6" t="s">
        <v>6304</v>
      </c>
      <c r="C2355" s="6" t="s">
        <v>12</v>
      </c>
      <c r="D2355" s="6" t="s">
        <v>5505</v>
      </c>
      <c r="E2355" s="6" t="s">
        <v>6127</v>
      </c>
      <c r="F2355" s="6" t="s">
        <v>6305</v>
      </c>
      <c r="G2355" s="6" t="s">
        <v>16</v>
      </c>
      <c r="H2355" s="5">
        <v>3</v>
      </c>
      <c r="I2355" s="6" t="s">
        <v>6306</v>
      </c>
      <c r="J2355" s="5">
        <v>540</v>
      </c>
    </row>
    <row r="2356" s="2" customFormat="1" spans="1:10">
      <c r="A2356" s="6">
        <f>2354</f>
        <v>2354</v>
      </c>
      <c r="B2356" s="6" t="s">
        <v>6307</v>
      </c>
      <c r="C2356" s="6" t="s">
        <v>12</v>
      </c>
      <c r="D2356" s="6" t="s">
        <v>5505</v>
      </c>
      <c r="E2356" s="6" t="s">
        <v>6127</v>
      </c>
      <c r="F2356" s="6" t="s">
        <v>6308</v>
      </c>
      <c r="G2356" s="6" t="s">
        <v>16</v>
      </c>
      <c r="H2356" s="5">
        <v>1</v>
      </c>
      <c r="I2356" s="6" t="s">
        <v>6308</v>
      </c>
      <c r="J2356" s="5">
        <v>345</v>
      </c>
    </row>
    <row r="2357" s="2" customFormat="1" ht="27" spans="1:10">
      <c r="A2357" s="6">
        <f>2355</f>
        <v>2355</v>
      </c>
      <c r="B2357" s="6" t="s">
        <v>6309</v>
      </c>
      <c r="C2357" s="6" t="s">
        <v>12</v>
      </c>
      <c r="D2357" s="6" t="s">
        <v>5505</v>
      </c>
      <c r="E2357" s="6" t="s">
        <v>6127</v>
      </c>
      <c r="F2357" s="6" t="s">
        <v>6310</v>
      </c>
      <c r="G2357" s="6" t="s">
        <v>16</v>
      </c>
      <c r="H2357" s="5">
        <v>4</v>
      </c>
      <c r="I2357" s="6" t="s">
        <v>6311</v>
      </c>
      <c r="J2357" s="5">
        <v>1240</v>
      </c>
    </row>
    <row r="2358" s="2" customFormat="1" spans="1:10">
      <c r="A2358" s="6">
        <f>2356</f>
        <v>2356</v>
      </c>
      <c r="B2358" s="6" t="s">
        <v>6312</v>
      </c>
      <c r="C2358" s="6" t="s">
        <v>12</v>
      </c>
      <c r="D2358" s="6" t="s">
        <v>5505</v>
      </c>
      <c r="E2358" s="6" t="s">
        <v>6127</v>
      </c>
      <c r="F2358" s="6" t="s">
        <v>1266</v>
      </c>
      <c r="G2358" s="6" t="s">
        <v>16</v>
      </c>
      <c r="H2358" s="5">
        <v>1</v>
      </c>
      <c r="I2358" s="6" t="s">
        <v>1266</v>
      </c>
      <c r="J2358" s="5">
        <v>420</v>
      </c>
    </row>
    <row r="2359" s="2" customFormat="1" spans="1:10">
      <c r="A2359" s="6">
        <f>2357</f>
        <v>2357</v>
      </c>
      <c r="B2359" s="6" t="s">
        <v>6313</v>
      </c>
      <c r="C2359" s="6" t="s">
        <v>12</v>
      </c>
      <c r="D2359" s="6" t="s">
        <v>5505</v>
      </c>
      <c r="E2359" s="6" t="s">
        <v>6127</v>
      </c>
      <c r="F2359" s="6" t="s">
        <v>6314</v>
      </c>
      <c r="G2359" s="6" t="s">
        <v>16</v>
      </c>
      <c r="H2359" s="5">
        <v>3</v>
      </c>
      <c r="I2359" s="6" t="s">
        <v>6315</v>
      </c>
      <c r="J2359" s="5">
        <v>980</v>
      </c>
    </row>
    <row r="2360" s="2" customFormat="1" spans="1:10">
      <c r="A2360" s="6">
        <f>2358</f>
        <v>2358</v>
      </c>
      <c r="B2360" s="6" t="s">
        <v>6316</v>
      </c>
      <c r="C2360" s="6" t="s">
        <v>12</v>
      </c>
      <c r="D2360" s="6" t="s">
        <v>5505</v>
      </c>
      <c r="E2360" s="6" t="s">
        <v>6127</v>
      </c>
      <c r="F2360" s="6" t="s">
        <v>6317</v>
      </c>
      <c r="G2360" s="6" t="s">
        <v>16</v>
      </c>
      <c r="H2360" s="5">
        <v>2</v>
      </c>
      <c r="I2360" s="6" t="s">
        <v>6318</v>
      </c>
      <c r="J2360" s="5">
        <v>620</v>
      </c>
    </row>
    <row r="2361" s="2" customFormat="1" spans="1:10">
      <c r="A2361" s="6">
        <f>2359</f>
        <v>2359</v>
      </c>
      <c r="B2361" s="6" t="s">
        <v>6319</v>
      </c>
      <c r="C2361" s="6" t="s">
        <v>12</v>
      </c>
      <c r="D2361" s="6" t="s">
        <v>5505</v>
      </c>
      <c r="E2361" s="6" t="s">
        <v>6127</v>
      </c>
      <c r="F2361" s="6" t="s">
        <v>6320</v>
      </c>
      <c r="G2361" s="6" t="s">
        <v>16</v>
      </c>
      <c r="H2361" s="5">
        <v>1</v>
      </c>
      <c r="I2361" s="6" t="s">
        <v>6320</v>
      </c>
      <c r="J2361" s="5">
        <v>620</v>
      </c>
    </row>
    <row r="2362" s="2" customFormat="1" spans="1:10">
      <c r="A2362" s="6">
        <f>2360</f>
        <v>2360</v>
      </c>
      <c r="B2362" s="6" t="s">
        <v>6321</v>
      </c>
      <c r="C2362" s="6" t="s">
        <v>12</v>
      </c>
      <c r="D2362" s="6" t="s">
        <v>5505</v>
      </c>
      <c r="E2362" s="6" t="s">
        <v>6127</v>
      </c>
      <c r="F2362" s="6" t="s">
        <v>6322</v>
      </c>
      <c r="G2362" s="6" t="s">
        <v>16</v>
      </c>
      <c r="H2362" s="5">
        <v>2</v>
      </c>
      <c r="I2362" s="6" t="s">
        <v>6323</v>
      </c>
      <c r="J2362" s="5">
        <v>848</v>
      </c>
    </row>
    <row r="2363" s="2" customFormat="1" ht="27" spans="1:10">
      <c r="A2363" s="6">
        <f>2361</f>
        <v>2361</v>
      </c>
      <c r="B2363" s="6" t="s">
        <v>6324</v>
      </c>
      <c r="C2363" s="6" t="s">
        <v>12</v>
      </c>
      <c r="D2363" s="6" t="s">
        <v>5505</v>
      </c>
      <c r="E2363" s="6" t="s">
        <v>6127</v>
      </c>
      <c r="F2363" s="6" t="s">
        <v>6325</v>
      </c>
      <c r="G2363" s="6" t="s">
        <v>16</v>
      </c>
      <c r="H2363" s="5">
        <v>6</v>
      </c>
      <c r="I2363" s="6" t="s">
        <v>6326</v>
      </c>
      <c r="J2363" s="5">
        <v>1960</v>
      </c>
    </row>
    <row r="2364" s="2" customFormat="1" spans="1:10">
      <c r="A2364" s="6">
        <f>2362</f>
        <v>2362</v>
      </c>
      <c r="B2364" s="6" t="s">
        <v>6327</v>
      </c>
      <c r="C2364" s="6" t="s">
        <v>12</v>
      </c>
      <c r="D2364" s="6" t="s">
        <v>5505</v>
      </c>
      <c r="E2364" s="6" t="s">
        <v>6127</v>
      </c>
      <c r="F2364" s="6" t="s">
        <v>6328</v>
      </c>
      <c r="G2364" s="6" t="s">
        <v>16</v>
      </c>
      <c r="H2364" s="5">
        <v>3</v>
      </c>
      <c r="I2364" s="6" t="s">
        <v>6329</v>
      </c>
      <c r="J2364" s="5">
        <v>780</v>
      </c>
    </row>
    <row r="2365" s="2" customFormat="1" spans="1:10">
      <c r="A2365" s="6">
        <f>2363</f>
        <v>2363</v>
      </c>
      <c r="B2365" s="6" t="s">
        <v>6330</v>
      </c>
      <c r="C2365" s="6" t="s">
        <v>12</v>
      </c>
      <c r="D2365" s="6" t="s">
        <v>5505</v>
      </c>
      <c r="E2365" s="6" t="s">
        <v>6127</v>
      </c>
      <c r="F2365" s="6" t="s">
        <v>6331</v>
      </c>
      <c r="G2365" s="6" t="s">
        <v>16</v>
      </c>
      <c r="H2365" s="5">
        <v>1</v>
      </c>
      <c r="I2365" s="6" t="s">
        <v>6331</v>
      </c>
      <c r="J2365" s="5">
        <v>563</v>
      </c>
    </row>
    <row r="2366" s="2" customFormat="1" spans="1:10">
      <c r="A2366" s="6">
        <f>2364</f>
        <v>2364</v>
      </c>
      <c r="B2366" s="6" t="s">
        <v>6332</v>
      </c>
      <c r="C2366" s="6" t="s">
        <v>12</v>
      </c>
      <c r="D2366" s="6" t="s">
        <v>5505</v>
      </c>
      <c r="E2366" s="6" t="s">
        <v>6127</v>
      </c>
      <c r="F2366" s="6" t="s">
        <v>6333</v>
      </c>
      <c r="G2366" s="6" t="s">
        <v>16</v>
      </c>
      <c r="H2366" s="5">
        <v>2</v>
      </c>
      <c r="I2366" s="6" t="s">
        <v>6334</v>
      </c>
      <c r="J2366" s="5">
        <v>720</v>
      </c>
    </row>
    <row r="2367" s="2" customFormat="1" spans="1:10">
      <c r="A2367" s="6">
        <f>2365</f>
        <v>2365</v>
      </c>
      <c r="B2367" s="6" t="s">
        <v>6335</v>
      </c>
      <c r="C2367" s="6" t="s">
        <v>12</v>
      </c>
      <c r="D2367" s="6" t="s">
        <v>5505</v>
      </c>
      <c r="E2367" s="6" t="s">
        <v>6336</v>
      </c>
      <c r="F2367" s="6" t="s">
        <v>6337</v>
      </c>
      <c r="G2367" s="6" t="s">
        <v>16</v>
      </c>
      <c r="H2367" s="5">
        <v>1</v>
      </c>
      <c r="I2367" s="6" t="s">
        <v>6337</v>
      </c>
      <c r="J2367" s="5">
        <v>260</v>
      </c>
    </row>
    <row r="2368" s="2" customFormat="1" spans="1:10">
      <c r="A2368" s="6">
        <f>2366</f>
        <v>2366</v>
      </c>
      <c r="B2368" s="6" t="s">
        <v>6338</v>
      </c>
      <c r="C2368" s="6" t="s">
        <v>12</v>
      </c>
      <c r="D2368" s="6" t="s">
        <v>5505</v>
      </c>
      <c r="E2368" s="6" t="s">
        <v>6336</v>
      </c>
      <c r="F2368" s="6" t="s">
        <v>6339</v>
      </c>
      <c r="G2368" s="6" t="s">
        <v>16</v>
      </c>
      <c r="H2368" s="5">
        <v>2</v>
      </c>
      <c r="I2368" s="6" t="s">
        <v>6340</v>
      </c>
      <c r="J2368" s="5">
        <v>495</v>
      </c>
    </row>
    <row r="2369" s="2" customFormat="1" spans="1:10">
      <c r="A2369" s="6">
        <f>2367</f>
        <v>2367</v>
      </c>
      <c r="B2369" s="6" t="s">
        <v>6341</v>
      </c>
      <c r="C2369" s="6" t="s">
        <v>12</v>
      </c>
      <c r="D2369" s="6" t="s">
        <v>5505</v>
      </c>
      <c r="E2369" s="6" t="s">
        <v>6336</v>
      </c>
      <c r="F2369" s="6" t="s">
        <v>6342</v>
      </c>
      <c r="G2369" s="6" t="s">
        <v>16</v>
      </c>
      <c r="H2369" s="5">
        <v>1</v>
      </c>
      <c r="I2369" s="6" t="s">
        <v>6342</v>
      </c>
      <c r="J2369" s="5">
        <v>260</v>
      </c>
    </row>
    <row r="2370" s="2" customFormat="1" spans="1:10">
      <c r="A2370" s="6">
        <f>2368</f>
        <v>2368</v>
      </c>
      <c r="B2370" s="6" t="s">
        <v>6343</v>
      </c>
      <c r="C2370" s="6" t="s">
        <v>12</v>
      </c>
      <c r="D2370" s="6" t="s">
        <v>5505</v>
      </c>
      <c r="E2370" s="6" t="s">
        <v>6336</v>
      </c>
      <c r="F2370" s="6" t="s">
        <v>6344</v>
      </c>
      <c r="G2370" s="6" t="s">
        <v>16</v>
      </c>
      <c r="H2370" s="5">
        <v>3</v>
      </c>
      <c r="I2370" s="6" t="s">
        <v>6345</v>
      </c>
      <c r="J2370" s="5">
        <v>660</v>
      </c>
    </row>
    <row r="2371" s="2" customFormat="1" spans="1:10">
      <c r="A2371" s="6">
        <f>2369</f>
        <v>2369</v>
      </c>
      <c r="B2371" s="6" t="s">
        <v>6346</v>
      </c>
      <c r="C2371" s="6" t="s">
        <v>12</v>
      </c>
      <c r="D2371" s="6" t="s">
        <v>5505</v>
      </c>
      <c r="E2371" s="6" t="s">
        <v>6336</v>
      </c>
      <c r="F2371" s="6" t="s">
        <v>6347</v>
      </c>
      <c r="G2371" s="6" t="s">
        <v>16</v>
      </c>
      <c r="H2371" s="5">
        <v>3</v>
      </c>
      <c r="I2371" s="6" t="s">
        <v>6348</v>
      </c>
      <c r="J2371" s="5">
        <v>880</v>
      </c>
    </row>
    <row r="2372" s="2" customFormat="1" spans="1:10">
      <c r="A2372" s="6">
        <f>2370</f>
        <v>2370</v>
      </c>
      <c r="B2372" s="6" t="s">
        <v>6349</v>
      </c>
      <c r="C2372" s="6" t="s">
        <v>12</v>
      </c>
      <c r="D2372" s="6" t="s">
        <v>5505</v>
      </c>
      <c r="E2372" s="6" t="s">
        <v>6336</v>
      </c>
      <c r="F2372" s="6" t="s">
        <v>6350</v>
      </c>
      <c r="G2372" s="6" t="s">
        <v>16</v>
      </c>
      <c r="H2372" s="5">
        <v>3</v>
      </c>
      <c r="I2372" s="6" t="s">
        <v>6351</v>
      </c>
      <c r="J2372" s="5">
        <v>560</v>
      </c>
    </row>
    <row r="2373" s="2" customFormat="1" ht="27" spans="1:10">
      <c r="A2373" s="6">
        <f>2371</f>
        <v>2371</v>
      </c>
      <c r="B2373" s="6" t="s">
        <v>6352</v>
      </c>
      <c r="C2373" s="6" t="s">
        <v>12</v>
      </c>
      <c r="D2373" s="6" t="s">
        <v>5505</v>
      </c>
      <c r="E2373" s="6" t="s">
        <v>6336</v>
      </c>
      <c r="F2373" s="6" t="s">
        <v>6353</v>
      </c>
      <c r="G2373" s="6" t="s">
        <v>16</v>
      </c>
      <c r="H2373" s="5">
        <v>4</v>
      </c>
      <c r="I2373" s="6" t="s">
        <v>6354</v>
      </c>
      <c r="J2373" s="5">
        <v>1972</v>
      </c>
    </row>
    <row r="2374" s="2" customFormat="1" spans="1:10">
      <c r="A2374" s="6">
        <f>2372</f>
        <v>2372</v>
      </c>
      <c r="B2374" s="6" t="s">
        <v>6355</v>
      </c>
      <c r="C2374" s="6" t="s">
        <v>12</v>
      </c>
      <c r="D2374" s="6" t="s">
        <v>5505</v>
      </c>
      <c r="E2374" s="6" t="s">
        <v>6336</v>
      </c>
      <c r="F2374" s="6" t="s">
        <v>6356</v>
      </c>
      <c r="G2374" s="6" t="s">
        <v>16</v>
      </c>
      <c r="H2374" s="5">
        <v>1</v>
      </c>
      <c r="I2374" s="6" t="s">
        <v>6356</v>
      </c>
      <c r="J2374" s="5">
        <v>510</v>
      </c>
    </row>
    <row r="2375" s="2" customFormat="1" spans="1:10">
      <c r="A2375" s="6">
        <f>2373</f>
        <v>2373</v>
      </c>
      <c r="B2375" s="6" t="s">
        <v>6357</v>
      </c>
      <c r="C2375" s="6" t="s">
        <v>12</v>
      </c>
      <c r="D2375" s="6" t="s">
        <v>5505</v>
      </c>
      <c r="E2375" s="6" t="s">
        <v>6336</v>
      </c>
      <c r="F2375" s="6" t="s">
        <v>6358</v>
      </c>
      <c r="G2375" s="6" t="s">
        <v>16</v>
      </c>
      <c r="H2375" s="5">
        <v>1</v>
      </c>
      <c r="I2375" s="6" t="s">
        <v>6358</v>
      </c>
      <c r="J2375" s="5">
        <v>530</v>
      </c>
    </row>
    <row r="2376" s="2" customFormat="1" spans="1:10">
      <c r="A2376" s="6">
        <f>2374</f>
        <v>2374</v>
      </c>
      <c r="B2376" s="6" t="s">
        <v>6359</v>
      </c>
      <c r="C2376" s="6" t="s">
        <v>12</v>
      </c>
      <c r="D2376" s="6" t="s">
        <v>5505</v>
      </c>
      <c r="E2376" s="6" t="s">
        <v>6336</v>
      </c>
      <c r="F2376" s="6" t="s">
        <v>6360</v>
      </c>
      <c r="G2376" s="6" t="s">
        <v>16</v>
      </c>
      <c r="H2376" s="5">
        <v>3</v>
      </c>
      <c r="I2376" s="6" t="s">
        <v>6361</v>
      </c>
      <c r="J2376" s="5">
        <v>580</v>
      </c>
    </row>
    <row r="2377" s="2" customFormat="1" ht="27" spans="1:10">
      <c r="A2377" s="6">
        <f>2375</f>
        <v>2375</v>
      </c>
      <c r="B2377" s="6" t="s">
        <v>6362</v>
      </c>
      <c r="C2377" s="6" t="s">
        <v>12</v>
      </c>
      <c r="D2377" s="6" t="s">
        <v>5505</v>
      </c>
      <c r="E2377" s="6" t="s">
        <v>6336</v>
      </c>
      <c r="F2377" s="6" t="s">
        <v>6363</v>
      </c>
      <c r="G2377" s="6" t="s">
        <v>16</v>
      </c>
      <c r="H2377" s="5">
        <v>5</v>
      </c>
      <c r="I2377" s="6" t="s">
        <v>6364</v>
      </c>
      <c r="J2377" s="5">
        <v>1700</v>
      </c>
    </row>
    <row r="2378" s="2" customFormat="1" spans="1:10">
      <c r="A2378" s="6">
        <f>2376</f>
        <v>2376</v>
      </c>
      <c r="B2378" s="6" t="s">
        <v>6365</v>
      </c>
      <c r="C2378" s="6" t="s">
        <v>12</v>
      </c>
      <c r="D2378" s="6" t="s">
        <v>5505</v>
      </c>
      <c r="E2378" s="6" t="s">
        <v>6336</v>
      </c>
      <c r="F2378" s="6" t="s">
        <v>6366</v>
      </c>
      <c r="G2378" s="6" t="s">
        <v>16</v>
      </c>
      <c r="H2378" s="5">
        <v>2</v>
      </c>
      <c r="I2378" s="6" t="s">
        <v>6367</v>
      </c>
      <c r="J2378" s="5">
        <v>830</v>
      </c>
    </row>
    <row r="2379" s="2" customFormat="1" spans="1:10">
      <c r="A2379" s="6">
        <f>2377</f>
        <v>2377</v>
      </c>
      <c r="B2379" s="6" t="s">
        <v>6368</v>
      </c>
      <c r="C2379" s="6" t="s">
        <v>12</v>
      </c>
      <c r="D2379" s="6" t="s">
        <v>5505</v>
      </c>
      <c r="E2379" s="6" t="s">
        <v>6336</v>
      </c>
      <c r="F2379" s="6" t="s">
        <v>6369</v>
      </c>
      <c r="G2379" s="6" t="s">
        <v>16</v>
      </c>
      <c r="H2379" s="5">
        <v>3</v>
      </c>
      <c r="I2379" s="6" t="s">
        <v>6370</v>
      </c>
      <c r="J2379" s="5">
        <v>580</v>
      </c>
    </row>
    <row r="2380" s="2" customFormat="1" spans="1:10">
      <c r="A2380" s="6">
        <f>2378</f>
        <v>2378</v>
      </c>
      <c r="B2380" s="6" t="s">
        <v>6371</v>
      </c>
      <c r="C2380" s="6" t="s">
        <v>12</v>
      </c>
      <c r="D2380" s="6" t="s">
        <v>5505</v>
      </c>
      <c r="E2380" s="6" t="s">
        <v>6336</v>
      </c>
      <c r="F2380" s="6" t="s">
        <v>6372</v>
      </c>
      <c r="G2380" s="6" t="s">
        <v>16</v>
      </c>
      <c r="H2380" s="5">
        <v>2</v>
      </c>
      <c r="I2380" s="6" t="s">
        <v>6373</v>
      </c>
      <c r="J2380" s="5">
        <v>820</v>
      </c>
    </row>
    <row r="2381" s="2" customFormat="1" ht="27" spans="1:10">
      <c r="A2381" s="6">
        <f>2379</f>
        <v>2379</v>
      </c>
      <c r="B2381" s="6" t="s">
        <v>6374</v>
      </c>
      <c r="C2381" s="6" t="s">
        <v>12</v>
      </c>
      <c r="D2381" s="6" t="s">
        <v>5505</v>
      </c>
      <c r="E2381" s="6" t="s">
        <v>6336</v>
      </c>
      <c r="F2381" s="6" t="s">
        <v>6375</v>
      </c>
      <c r="G2381" s="6" t="s">
        <v>16</v>
      </c>
      <c r="H2381" s="5">
        <v>5</v>
      </c>
      <c r="I2381" s="6" t="s">
        <v>6376</v>
      </c>
      <c r="J2381" s="5">
        <v>2000</v>
      </c>
    </row>
    <row r="2382" s="2" customFormat="1" spans="1:10">
      <c r="A2382" s="6">
        <f>2380</f>
        <v>2380</v>
      </c>
      <c r="B2382" s="6" t="s">
        <v>6377</v>
      </c>
      <c r="C2382" s="6" t="s">
        <v>12</v>
      </c>
      <c r="D2382" s="6" t="s">
        <v>5505</v>
      </c>
      <c r="E2382" s="6" t="s">
        <v>6336</v>
      </c>
      <c r="F2382" s="6" t="s">
        <v>6378</v>
      </c>
      <c r="G2382" s="6" t="s">
        <v>16</v>
      </c>
      <c r="H2382" s="5">
        <v>2</v>
      </c>
      <c r="I2382" s="6" t="s">
        <v>6379</v>
      </c>
      <c r="J2382" s="5">
        <v>1080</v>
      </c>
    </row>
    <row r="2383" s="2" customFormat="1" ht="27" spans="1:10">
      <c r="A2383" s="6">
        <f>2381</f>
        <v>2381</v>
      </c>
      <c r="B2383" s="6" t="s">
        <v>6380</v>
      </c>
      <c r="C2383" s="6" t="s">
        <v>12</v>
      </c>
      <c r="D2383" s="6" t="s">
        <v>5505</v>
      </c>
      <c r="E2383" s="6" t="s">
        <v>6336</v>
      </c>
      <c r="F2383" s="6" t="s">
        <v>6381</v>
      </c>
      <c r="G2383" s="6" t="s">
        <v>16</v>
      </c>
      <c r="H2383" s="5">
        <v>4</v>
      </c>
      <c r="I2383" s="6" t="s">
        <v>6382</v>
      </c>
      <c r="J2383" s="5">
        <v>1660</v>
      </c>
    </row>
    <row r="2384" s="2" customFormat="1" spans="1:10">
      <c r="A2384" s="6">
        <f>2382</f>
        <v>2382</v>
      </c>
      <c r="B2384" s="6" t="s">
        <v>6383</v>
      </c>
      <c r="C2384" s="6" t="s">
        <v>12</v>
      </c>
      <c r="D2384" s="6" t="s">
        <v>5505</v>
      </c>
      <c r="E2384" s="6" t="s">
        <v>6336</v>
      </c>
      <c r="F2384" s="6" t="s">
        <v>6384</v>
      </c>
      <c r="G2384" s="6" t="s">
        <v>16</v>
      </c>
      <c r="H2384" s="5">
        <v>1</v>
      </c>
      <c r="I2384" s="6" t="s">
        <v>6384</v>
      </c>
      <c r="J2384" s="5">
        <v>620</v>
      </c>
    </row>
    <row r="2385" s="2" customFormat="1" ht="27" spans="1:10">
      <c r="A2385" s="6">
        <f>2383</f>
        <v>2383</v>
      </c>
      <c r="B2385" s="6" t="s">
        <v>6385</v>
      </c>
      <c r="C2385" s="6" t="s">
        <v>12</v>
      </c>
      <c r="D2385" s="6" t="s">
        <v>5505</v>
      </c>
      <c r="E2385" s="6" t="s">
        <v>6336</v>
      </c>
      <c r="F2385" s="6" t="s">
        <v>6386</v>
      </c>
      <c r="G2385" s="6" t="s">
        <v>16</v>
      </c>
      <c r="H2385" s="5">
        <v>4</v>
      </c>
      <c r="I2385" s="6" t="s">
        <v>6387</v>
      </c>
      <c r="J2385" s="5">
        <v>940</v>
      </c>
    </row>
    <row r="2386" s="2" customFormat="1" spans="1:10">
      <c r="A2386" s="6">
        <f>2384</f>
        <v>2384</v>
      </c>
      <c r="B2386" s="6" t="s">
        <v>6388</v>
      </c>
      <c r="C2386" s="6" t="s">
        <v>12</v>
      </c>
      <c r="D2386" s="6" t="s">
        <v>5505</v>
      </c>
      <c r="E2386" s="6" t="s">
        <v>6336</v>
      </c>
      <c r="F2386" s="6" t="s">
        <v>6389</v>
      </c>
      <c r="G2386" s="6" t="s">
        <v>16</v>
      </c>
      <c r="H2386" s="5">
        <v>3</v>
      </c>
      <c r="I2386" s="6" t="s">
        <v>6390</v>
      </c>
      <c r="J2386" s="5">
        <v>680</v>
      </c>
    </row>
    <row r="2387" s="2" customFormat="1" spans="1:10">
      <c r="A2387" s="6">
        <f>2385</f>
        <v>2385</v>
      </c>
      <c r="B2387" s="6" t="s">
        <v>6391</v>
      </c>
      <c r="C2387" s="6" t="s">
        <v>12</v>
      </c>
      <c r="D2387" s="6" t="s">
        <v>5505</v>
      </c>
      <c r="E2387" s="6" t="s">
        <v>6336</v>
      </c>
      <c r="F2387" s="6" t="s">
        <v>6392</v>
      </c>
      <c r="G2387" s="6" t="s">
        <v>16</v>
      </c>
      <c r="H2387" s="5">
        <v>1</v>
      </c>
      <c r="I2387" s="6" t="s">
        <v>6392</v>
      </c>
      <c r="J2387" s="5">
        <v>420</v>
      </c>
    </row>
    <row r="2388" s="2" customFormat="1" ht="27" spans="1:10">
      <c r="A2388" s="6">
        <f>2386</f>
        <v>2386</v>
      </c>
      <c r="B2388" s="6" t="s">
        <v>6393</v>
      </c>
      <c r="C2388" s="6" t="s">
        <v>12</v>
      </c>
      <c r="D2388" s="6" t="s">
        <v>5505</v>
      </c>
      <c r="E2388" s="6" t="s">
        <v>6336</v>
      </c>
      <c r="F2388" s="6" t="s">
        <v>6394</v>
      </c>
      <c r="G2388" s="6" t="s">
        <v>16</v>
      </c>
      <c r="H2388" s="5">
        <v>4</v>
      </c>
      <c r="I2388" s="6" t="s">
        <v>6395</v>
      </c>
      <c r="J2388" s="5">
        <v>1098</v>
      </c>
    </row>
    <row r="2389" s="2" customFormat="1" spans="1:10">
      <c r="A2389" s="6">
        <f>2387</f>
        <v>2387</v>
      </c>
      <c r="B2389" s="6" t="s">
        <v>6396</v>
      </c>
      <c r="C2389" s="6" t="s">
        <v>12</v>
      </c>
      <c r="D2389" s="6" t="s">
        <v>5505</v>
      </c>
      <c r="E2389" s="6" t="s">
        <v>6336</v>
      </c>
      <c r="F2389" s="6" t="s">
        <v>6397</v>
      </c>
      <c r="G2389" s="6" t="s">
        <v>16</v>
      </c>
      <c r="H2389" s="5">
        <v>2</v>
      </c>
      <c r="I2389" s="6" t="s">
        <v>6398</v>
      </c>
      <c r="J2389" s="5">
        <v>1080</v>
      </c>
    </row>
    <row r="2390" s="2" customFormat="1" spans="1:10">
      <c r="A2390" s="6">
        <f>2388</f>
        <v>2388</v>
      </c>
      <c r="B2390" s="6" t="s">
        <v>6399</v>
      </c>
      <c r="C2390" s="6" t="s">
        <v>12</v>
      </c>
      <c r="D2390" s="6" t="s">
        <v>5505</v>
      </c>
      <c r="E2390" s="6" t="s">
        <v>6336</v>
      </c>
      <c r="F2390" s="6" t="s">
        <v>6400</v>
      </c>
      <c r="G2390" s="6" t="s">
        <v>16</v>
      </c>
      <c r="H2390" s="5">
        <v>3</v>
      </c>
      <c r="I2390" s="6" t="s">
        <v>6401</v>
      </c>
      <c r="J2390" s="5">
        <v>1620</v>
      </c>
    </row>
    <row r="2391" s="2" customFormat="1" ht="27" spans="1:10">
      <c r="A2391" s="6">
        <f>2389</f>
        <v>2389</v>
      </c>
      <c r="B2391" s="6" t="s">
        <v>6402</v>
      </c>
      <c r="C2391" s="6" t="s">
        <v>12</v>
      </c>
      <c r="D2391" s="6" t="s">
        <v>5505</v>
      </c>
      <c r="E2391" s="6" t="s">
        <v>6336</v>
      </c>
      <c r="F2391" s="6" t="s">
        <v>6403</v>
      </c>
      <c r="G2391" s="6" t="s">
        <v>16</v>
      </c>
      <c r="H2391" s="5">
        <v>4</v>
      </c>
      <c r="I2391" s="6" t="s">
        <v>6404</v>
      </c>
      <c r="J2391" s="5">
        <v>841</v>
      </c>
    </row>
    <row r="2392" s="2" customFormat="1" spans="1:10">
      <c r="A2392" s="6">
        <f>2390</f>
        <v>2390</v>
      </c>
      <c r="B2392" s="6" t="s">
        <v>6405</v>
      </c>
      <c r="C2392" s="6" t="s">
        <v>12</v>
      </c>
      <c r="D2392" s="6" t="s">
        <v>5505</v>
      </c>
      <c r="E2392" s="6" t="s">
        <v>6336</v>
      </c>
      <c r="F2392" s="6" t="s">
        <v>6406</v>
      </c>
      <c r="G2392" s="6" t="s">
        <v>16</v>
      </c>
      <c r="H2392" s="5">
        <v>2</v>
      </c>
      <c r="I2392" s="6" t="s">
        <v>6407</v>
      </c>
      <c r="J2392" s="5">
        <v>616</v>
      </c>
    </row>
    <row r="2393" s="2" customFormat="1" spans="1:10">
      <c r="A2393" s="6">
        <f>2391</f>
        <v>2391</v>
      </c>
      <c r="B2393" s="6" t="s">
        <v>6408</v>
      </c>
      <c r="C2393" s="6" t="s">
        <v>12</v>
      </c>
      <c r="D2393" s="6" t="s">
        <v>5505</v>
      </c>
      <c r="E2393" s="6" t="s">
        <v>6336</v>
      </c>
      <c r="F2393" s="6" t="s">
        <v>6409</v>
      </c>
      <c r="G2393" s="6" t="s">
        <v>16</v>
      </c>
      <c r="H2393" s="5">
        <v>1</v>
      </c>
      <c r="I2393" s="6" t="s">
        <v>6409</v>
      </c>
      <c r="J2393" s="5">
        <v>388</v>
      </c>
    </row>
    <row r="2394" s="2" customFormat="1" spans="1:10">
      <c r="A2394" s="6">
        <f>2392</f>
        <v>2392</v>
      </c>
      <c r="B2394" s="6" t="s">
        <v>6410</v>
      </c>
      <c r="C2394" s="6" t="s">
        <v>12</v>
      </c>
      <c r="D2394" s="6" t="s">
        <v>5505</v>
      </c>
      <c r="E2394" s="6" t="s">
        <v>6336</v>
      </c>
      <c r="F2394" s="6" t="s">
        <v>6411</v>
      </c>
      <c r="G2394" s="6" t="s">
        <v>16</v>
      </c>
      <c r="H2394" s="5">
        <v>1</v>
      </c>
      <c r="I2394" s="6" t="s">
        <v>6411</v>
      </c>
      <c r="J2394" s="5">
        <v>266</v>
      </c>
    </row>
    <row r="2395" s="2" customFormat="1" spans="1:10">
      <c r="A2395" s="6">
        <f>2393</f>
        <v>2393</v>
      </c>
      <c r="B2395" s="6" t="s">
        <v>6412</v>
      </c>
      <c r="C2395" s="6" t="s">
        <v>12</v>
      </c>
      <c r="D2395" s="6" t="s">
        <v>5505</v>
      </c>
      <c r="E2395" s="6" t="s">
        <v>6336</v>
      </c>
      <c r="F2395" s="6" t="s">
        <v>6413</v>
      </c>
      <c r="G2395" s="6" t="s">
        <v>16</v>
      </c>
      <c r="H2395" s="5">
        <v>3</v>
      </c>
      <c r="I2395" s="6" t="s">
        <v>6414</v>
      </c>
      <c r="J2395" s="5">
        <v>560</v>
      </c>
    </row>
    <row r="2396" s="2" customFormat="1" spans="1:10">
      <c r="A2396" s="6">
        <f>2394</f>
        <v>2394</v>
      </c>
      <c r="B2396" s="6" t="s">
        <v>6415</v>
      </c>
      <c r="C2396" s="6" t="s">
        <v>12</v>
      </c>
      <c r="D2396" s="6" t="s">
        <v>5505</v>
      </c>
      <c r="E2396" s="6" t="s">
        <v>6336</v>
      </c>
      <c r="F2396" s="6" t="s">
        <v>6416</v>
      </c>
      <c r="G2396" s="6" t="s">
        <v>16</v>
      </c>
      <c r="H2396" s="5">
        <v>3</v>
      </c>
      <c r="I2396" s="6" t="s">
        <v>6417</v>
      </c>
      <c r="J2396" s="5">
        <v>600</v>
      </c>
    </row>
    <row r="2397" s="2" customFormat="1" spans="1:10">
      <c r="A2397" s="6">
        <f>2395</f>
        <v>2395</v>
      </c>
      <c r="B2397" s="6" t="s">
        <v>6418</v>
      </c>
      <c r="C2397" s="6" t="s">
        <v>12</v>
      </c>
      <c r="D2397" s="6" t="s">
        <v>5505</v>
      </c>
      <c r="E2397" s="6" t="s">
        <v>6336</v>
      </c>
      <c r="F2397" s="6" t="s">
        <v>6419</v>
      </c>
      <c r="G2397" s="6" t="s">
        <v>16</v>
      </c>
      <c r="H2397" s="5">
        <v>2</v>
      </c>
      <c r="I2397" s="6" t="s">
        <v>6420</v>
      </c>
      <c r="J2397" s="5">
        <v>550</v>
      </c>
    </row>
    <row r="2398" s="2" customFormat="1" ht="27" spans="1:10">
      <c r="A2398" s="6">
        <f>2396</f>
        <v>2396</v>
      </c>
      <c r="B2398" s="6" t="s">
        <v>6421</v>
      </c>
      <c r="C2398" s="6" t="s">
        <v>12</v>
      </c>
      <c r="D2398" s="6" t="s">
        <v>5505</v>
      </c>
      <c r="E2398" s="6" t="s">
        <v>6336</v>
      </c>
      <c r="F2398" s="6" t="s">
        <v>6422</v>
      </c>
      <c r="G2398" s="6" t="s">
        <v>16</v>
      </c>
      <c r="H2398" s="5">
        <v>4</v>
      </c>
      <c r="I2398" s="6" t="s">
        <v>6423</v>
      </c>
      <c r="J2398" s="5">
        <v>740</v>
      </c>
    </row>
    <row r="2399" s="2" customFormat="1" spans="1:10">
      <c r="A2399" s="6">
        <f>2397</f>
        <v>2397</v>
      </c>
      <c r="B2399" s="6" t="s">
        <v>6424</v>
      </c>
      <c r="C2399" s="6" t="s">
        <v>12</v>
      </c>
      <c r="D2399" s="6" t="s">
        <v>5505</v>
      </c>
      <c r="E2399" s="6" t="s">
        <v>6336</v>
      </c>
      <c r="F2399" s="6" t="s">
        <v>6425</v>
      </c>
      <c r="G2399" s="6" t="s">
        <v>16</v>
      </c>
      <c r="H2399" s="5">
        <v>3</v>
      </c>
      <c r="I2399" s="6" t="s">
        <v>6426</v>
      </c>
      <c r="J2399" s="5">
        <v>920</v>
      </c>
    </row>
    <row r="2400" s="2" customFormat="1" spans="1:10">
      <c r="A2400" s="6">
        <f>2398</f>
        <v>2398</v>
      </c>
      <c r="B2400" s="6" t="s">
        <v>6427</v>
      </c>
      <c r="C2400" s="6" t="s">
        <v>12</v>
      </c>
      <c r="D2400" s="6" t="s">
        <v>5505</v>
      </c>
      <c r="E2400" s="6" t="s">
        <v>6336</v>
      </c>
      <c r="F2400" s="6" t="s">
        <v>6428</v>
      </c>
      <c r="G2400" s="6" t="s">
        <v>16</v>
      </c>
      <c r="H2400" s="5">
        <v>2</v>
      </c>
      <c r="I2400" s="6" t="s">
        <v>6429</v>
      </c>
      <c r="J2400" s="5">
        <v>470</v>
      </c>
    </row>
    <row r="2401" s="2" customFormat="1" spans="1:10">
      <c r="A2401" s="6">
        <f>2399</f>
        <v>2399</v>
      </c>
      <c r="B2401" s="6" t="s">
        <v>6430</v>
      </c>
      <c r="C2401" s="6" t="s">
        <v>12</v>
      </c>
      <c r="D2401" s="6" t="s">
        <v>5505</v>
      </c>
      <c r="E2401" s="6" t="s">
        <v>6336</v>
      </c>
      <c r="F2401" s="6" t="s">
        <v>6431</v>
      </c>
      <c r="G2401" s="6" t="s">
        <v>16</v>
      </c>
      <c r="H2401" s="5">
        <v>1</v>
      </c>
      <c r="I2401" s="6" t="s">
        <v>6431</v>
      </c>
      <c r="J2401" s="5">
        <v>313</v>
      </c>
    </row>
    <row r="2402" s="2" customFormat="1" spans="1:10">
      <c r="A2402" s="6">
        <f>2400</f>
        <v>2400</v>
      </c>
      <c r="B2402" s="6" t="s">
        <v>6432</v>
      </c>
      <c r="C2402" s="6" t="s">
        <v>12</v>
      </c>
      <c r="D2402" s="6" t="s">
        <v>5505</v>
      </c>
      <c r="E2402" s="6" t="s">
        <v>6336</v>
      </c>
      <c r="F2402" s="6" t="s">
        <v>6433</v>
      </c>
      <c r="G2402" s="6" t="s">
        <v>16</v>
      </c>
      <c r="H2402" s="5">
        <v>3</v>
      </c>
      <c r="I2402" s="6" t="s">
        <v>6434</v>
      </c>
      <c r="J2402" s="5">
        <v>880</v>
      </c>
    </row>
    <row r="2403" s="2" customFormat="1" ht="27" spans="1:10">
      <c r="A2403" s="6">
        <f>2401</f>
        <v>2401</v>
      </c>
      <c r="B2403" s="6" t="s">
        <v>6435</v>
      </c>
      <c r="C2403" s="6" t="s">
        <v>12</v>
      </c>
      <c r="D2403" s="6" t="s">
        <v>5505</v>
      </c>
      <c r="E2403" s="6" t="s">
        <v>6336</v>
      </c>
      <c r="F2403" s="6" t="s">
        <v>6436</v>
      </c>
      <c r="G2403" s="6" t="s">
        <v>16</v>
      </c>
      <c r="H2403" s="5">
        <v>5</v>
      </c>
      <c r="I2403" s="6" t="s">
        <v>6437</v>
      </c>
      <c r="J2403" s="5">
        <v>1100</v>
      </c>
    </row>
    <row r="2404" s="2" customFormat="1" spans="1:10">
      <c r="A2404" s="6">
        <f>2402</f>
        <v>2402</v>
      </c>
      <c r="B2404" s="6" t="s">
        <v>6438</v>
      </c>
      <c r="C2404" s="6" t="s">
        <v>12</v>
      </c>
      <c r="D2404" s="6" t="s">
        <v>5505</v>
      </c>
      <c r="E2404" s="6" t="s">
        <v>6336</v>
      </c>
      <c r="F2404" s="6" t="s">
        <v>6439</v>
      </c>
      <c r="G2404" s="6" t="s">
        <v>16</v>
      </c>
      <c r="H2404" s="5">
        <v>2</v>
      </c>
      <c r="I2404" s="6" t="s">
        <v>6440</v>
      </c>
      <c r="J2404" s="5">
        <v>620</v>
      </c>
    </row>
    <row r="2405" s="2" customFormat="1" spans="1:10">
      <c r="A2405" s="6">
        <f>2403</f>
        <v>2403</v>
      </c>
      <c r="B2405" s="6" t="s">
        <v>6441</v>
      </c>
      <c r="C2405" s="6" t="s">
        <v>12</v>
      </c>
      <c r="D2405" s="6" t="s">
        <v>5505</v>
      </c>
      <c r="E2405" s="6" t="s">
        <v>6336</v>
      </c>
      <c r="F2405" s="6" t="s">
        <v>6442</v>
      </c>
      <c r="G2405" s="6" t="s">
        <v>16</v>
      </c>
      <c r="H2405" s="5">
        <v>2</v>
      </c>
      <c r="I2405" s="6" t="s">
        <v>6443</v>
      </c>
      <c r="J2405" s="5">
        <v>780</v>
      </c>
    </row>
    <row r="2406" s="2" customFormat="1" spans="1:10">
      <c r="A2406" s="6">
        <f>2404</f>
        <v>2404</v>
      </c>
      <c r="B2406" s="6" t="s">
        <v>6444</v>
      </c>
      <c r="C2406" s="6" t="s">
        <v>12</v>
      </c>
      <c r="D2406" s="6" t="s">
        <v>5505</v>
      </c>
      <c r="E2406" s="6" t="s">
        <v>6336</v>
      </c>
      <c r="F2406" s="6" t="s">
        <v>6445</v>
      </c>
      <c r="G2406" s="6" t="s">
        <v>16</v>
      </c>
      <c r="H2406" s="5">
        <v>1</v>
      </c>
      <c r="I2406" s="6" t="s">
        <v>6445</v>
      </c>
      <c r="J2406" s="5">
        <v>410</v>
      </c>
    </row>
    <row r="2407" s="2" customFormat="1" spans="1:10">
      <c r="A2407" s="6">
        <f>2405</f>
        <v>2405</v>
      </c>
      <c r="B2407" s="6" t="s">
        <v>6446</v>
      </c>
      <c r="C2407" s="6" t="s">
        <v>12</v>
      </c>
      <c r="D2407" s="6" t="s">
        <v>5505</v>
      </c>
      <c r="E2407" s="6" t="s">
        <v>6336</v>
      </c>
      <c r="F2407" s="6" t="s">
        <v>462</v>
      </c>
      <c r="G2407" s="6" t="s">
        <v>16</v>
      </c>
      <c r="H2407" s="5">
        <v>3</v>
      </c>
      <c r="I2407" s="6" t="s">
        <v>6447</v>
      </c>
      <c r="J2407" s="5">
        <v>1120</v>
      </c>
    </row>
    <row r="2408" s="2" customFormat="1" spans="1:10">
      <c r="A2408" s="6">
        <f>2406</f>
        <v>2406</v>
      </c>
      <c r="B2408" s="6" t="s">
        <v>6448</v>
      </c>
      <c r="C2408" s="6" t="s">
        <v>12</v>
      </c>
      <c r="D2408" s="6" t="s">
        <v>5505</v>
      </c>
      <c r="E2408" s="6" t="s">
        <v>6336</v>
      </c>
      <c r="F2408" s="6" t="s">
        <v>6449</v>
      </c>
      <c r="G2408" s="6" t="s">
        <v>16</v>
      </c>
      <c r="H2408" s="5">
        <v>2</v>
      </c>
      <c r="I2408" s="6" t="s">
        <v>6450</v>
      </c>
      <c r="J2408" s="5">
        <v>559</v>
      </c>
    </row>
    <row r="2409" s="2" customFormat="1" ht="27" spans="1:10">
      <c r="A2409" s="6">
        <f>2407</f>
        <v>2407</v>
      </c>
      <c r="B2409" s="6" t="s">
        <v>6451</v>
      </c>
      <c r="C2409" s="6" t="s">
        <v>12</v>
      </c>
      <c r="D2409" s="6" t="s">
        <v>5505</v>
      </c>
      <c r="E2409" s="6" t="s">
        <v>6336</v>
      </c>
      <c r="F2409" s="6" t="s">
        <v>6452</v>
      </c>
      <c r="G2409" s="6" t="s">
        <v>16</v>
      </c>
      <c r="H2409" s="5">
        <v>5</v>
      </c>
      <c r="I2409" s="6" t="s">
        <v>6453</v>
      </c>
      <c r="J2409" s="5">
        <v>1050</v>
      </c>
    </row>
    <row r="2410" s="2" customFormat="1" spans="1:10">
      <c r="A2410" s="6">
        <f>2408</f>
        <v>2408</v>
      </c>
      <c r="B2410" s="6" t="s">
        <v>6454</v>
      </c>
      <c r="C2410" s="6" t="s">
        <v>12</v>
      </c>
      <c r="D2410" s="6" t="s">
        <v>5505</v>
      </c>
      <c r="E2410" s="6" t="s">
        <v>6336</v>
      </c>
      <c r="F2410" s="6" t="s">
        <v>6455</v>
      </c>
      <c r="G2410" s="6" t="s">
        <v>16</v>
      </c>
      <c r="H2410" s="5">
        <v>3</v>
      </c>
      <c r="I2410" s="6" t="s">
        <v>6456</v>
      </c>
      <c r="J2410" s="5">
        <v>1200</v>
      </c>
    </row>
    <row r="2411" s="2" customFormat="1" spans="1:10">
      <c r="A2411" s="6">
        <f>2409</f>
        <v>2409</v>
      </c>
      <c r="B2411" s="6" t="s">
        <v>6457</v>
      </c>
      <c r="C2411" s="6" t="s">
        <v>12</v>
      </c>
      <c r="D2411" s="6" t="s">
        <v>5505</v>
      </c>
      <c r="E2411" s="6" t="s">
        <v>6336</v>
      </c>
      <c r="F2411" s="6" t="s">
        <v>6458</v>
      </c>
      <c r="G2411" s="6" t="s">
        <v>16</v>
      </c>
      <c r="H2411" s="5">
        <v>2</v>
      </c>
      <c r="I2411" s="6" t="s">
        <v>6459</v>
      </c>
      <c r="J2411" s="5">
        <v>496</v>
      </c>
    </row>
    <row r="2412" s="2" customFormat="1" ht="27" spans="1:10">
      <c r="A2412" s="6">
        <f>2410</f>
        <v>2410</v>
      </c>
      <c r="B2412" s="6" t="s">
        <v>6460</v>
      </c>
      <c r="C2412" s="6" t="s">
        <v>12</v>
      </c>
      <c r="D2412" s="6" t="s">
        <v>5505</v>
      </c>
      <c r="E2412" s="6" t="s">
        <v>6336</v>
      </c>
      <c r="F2412" s="6" t="s">
        <v>6461</v>
      </c>
      <c r="G2412" s="6" t="s">
        <v>16</v>
      </c>
      <c r="H2412" s="5">
        <v>5</v>
      </c>
      <c r="I2412" s="6" t="s">
        <v>6462</v>
      </c>
      <c r="J2412" s="5">
        <v>804</v>
      </c>
    </row>
    <row r="2413" s="2" customFormat="1" spans="1:10">
      <c r="A2413" s="6">
        <f>2411</f>
        <v>2411</v>
      </c>
      <c r="B2413" s="6" t="s">
        <v>6463</v>
      </c>
      <c r="C2413" s="6" t="s">
        <v>12</v>
      </c>
      <c r="D2413" s="6" t="s">
        <v>5505</v>
      </c>
      <c r="E2413" s="6" t="s">
        <v>6336</v>
      </c>
      <c r="F2413" s="6" t="s">
        <v>6464</v>
      </c>
      <c r="G2413" s="6" t="s">
        <v>16</v>
      </c>
      <c r="H2413" s="5">
        <v>2</v>
      </c>
      <c r="I2413" s="6" t="s">
        <v>6465</v>
      </c>
      <c r="J2413" s="5">
        <v>640</v>
      </c>
    </row>
    <row r="2414" s="2" customFormat="1" spans="1:10">
      <c r="A2414" s="6">
        <f>2412</f>
        <v>2412</v>
      </c>
      <c r="B2414" s="6" t="s">
        <v>6466</v>
      </c>
      <c r="C2414" s="6" t="s">
        <v>12</v>
      </c>
      <c r="D2414" s="6" t="s">
        <v>5505</v>
      </c>
      <c r="E2414" s="6" t="s">
        <v>6336</v>
      </c>
      <c r="F2414" s="6" t="s">
        <v>6467</v>
      </c>
      <c r="G2414" s="6" t="s">
        <v>16</v>
      </c>
      <c r="H2414" s="5">
        <v>2</v>
      </c>
      <c r="I2414" s="6" t="s">
        <v>6468</v>
      </c>
      <c r="J2414" s="5">
        <v>880</v>
      </c>
    </row>
    <row r="2415" s="2" customFormat="1" spans="1:10">
      <c r="A2415" s="6">
        <f>2413</f>
        <v>2413</v>
      </c>
      <c r="B2415" s="6" t="s">
        <v>6469</v>
      </c>
      <c r="C2415" s="6" t="s">
        <v>12</v>
      </c>
      <c r="D2415" s="6" t="s">
        <v>5505</v>
      </c>
      <c r="E2415" s="6" t="s">
        <v>6336</v>
      </c>
      <c r="F2415" s="6" t="s">
        <v>6470</v>
      </c>
      <c r="G2415" s="6" t="s">
        <v>16</v>
      </c>
      <c r="H2415" s="5">
        <v>2</v>
      </c>
      <c r="I2415" s="6" t="s">
        <v>6471</v>
      </c>
      <c r="J2415" s="5">
        <v>450</v>
      </c>
    </row>
    <row r="2416" s="2" customFormat="1" spans="1:10">
      <c r="A2416" s="6">
        <f>2414</f>
        <v>2414</v>
      </c>
      <c r="B2416" s="6" t="s">
        <v>6472</v>
      </c>
      <c r="C2416" s="6" t="s">
        <v>12</v>
      </c>
      <c r="D2416" s="6" t="s">
        <v>5505</v>
      </c>
      <c r="E2416" s="6" t="s">
        <v>6336</v>
      </c>
      <c r="F2416" s="6" t="s">
        <v>6473</v>
      </c>
      <c r="G2416" s="6" t="s">
        <v>16</v>
      </c>
      <c r="H2416" s="5">
        <v>1</v>
      </c>
      <c r="I2416" s="6" t="s">
        <v>6473</v>
      </c>
      <c r="J2416" s="5">
        <v>480</v>
      </c>
    </row>
    <row r="2417" s="2" customFormat="1" spans="1:10">
      <c r="A2417" s="6">
        <f>2415</f>
        <v>2415</v>
      </c>
      <c r="B2417" s="6" t="s">
        <v>6474</v>
      </c>
      <c r="C2417" s="6" t="s">
        <v>12</v>
      </c>
      <c r="D2417" s="6" t="s">
        <v>5505</v>
      </c>
      <c r="E2417" s="6" t="s">
        <v>6336</v>
      </c>
      <c r="F2417" s="6" t="s">
        <v>6475</v>
      </c>
      <c r="G2417" s="6" t="s">
        <v>16</v>
      </c>
      <c r="H2417" s="5">
        <v>2</v>
      </c>
      <c r="I2417" s="6" t="s">
        <v>6476</v>
      </c>
      <c r="J2417" s="5">
        <v>480</v>
      </c>
    </row>
    <row r="2418" s="2" customFormat="1" ht="27" spans="1:10">
      <c r="A2418" s="6">
        <f>2416</f>
        <v>2416</v>
      </c>
      <c r="B2418" s="6" t="s">
        <v>6477</v>
      </c>
      <c r="C2418" s="6" t="s">
        <v>12</v>
      </c>
      <c r="D2418" s="6" t="s">
        <v>5505</v>
      </c>
      <c r="E2418" s="6" t="s">
        <v>6336</v>
      </c>
      <c r="F2418" s="6" t="s">
        <v>6478</v>
      </c>
      <c r="G2418" s="6" t="s">
        <v>16</v>
      </c>
      <c r="H2418" s="5">
        <v>4</v>
      </c>
      <c r="I2418" s="6" t="s">
        <v>6479</v>
      </c>
      <c r="J2418" s="5">
        <v>880</v>
      </c>
    </row>
    <row r="2419" s="2" customFormat="1" spans="1:10">
      <c r="A2419" s="6">
        <f>2417</f>
        <v>2417</v>
      </c>
      <c r="B2419" s="6" t="s">
        <v>6480</v>
      </c>
      <c r="C2419" s="6" t="s">
        <v>12</v>
      </c>
      <c r="D2419" s="6" t="s">
        <v>5505</v>
      </c>
      <c r="E2419" s="6" t="s">
        <v>6336</v>
      </c>
      <c r="F2419" s="6" t="s">
        <v>6481</v>
      </c>
      <c r="G2419" s="6" t="s">
        <v>16</v>
      </c>
      <c r="H2419" s="5">
        <v>3</v>
      </c>
      <c r="I2419" s="6" t="s">
        <v>6482</v>
      </c>
      <c r="J2419" s="5">
        <v>691</v>
      </c>
    </row>
    <row r="2420" s="2" customFormat="1" spans="1:10">
      <c r="A2420" s="6">
        <f>2418</f>
        <v>2418</v>
      </c>
      <c r="B2420" s="6" t="s">
        <v>6483</v>
      </c>
      <c r="C2420" s="6" t="s">
        <v>12</v>
      </c>
      <c r="D2420" s="6" t="s">
        <v>5505</v>
      </c>
      <c r="E2420" s="6" t="s">
        <v>6336</v>
      </c>
      <c r="F2420" s="6" t="s">
        <v>6484</v>
      </c>
      <c r="G2420" s="6" t="s">
        <v>16</v>
      </c>
      <c r="H2420" s="5">
        <v>2</v>
      </c>
      <c r="I2420" s="6" t="s">
        <v>6485</v>
      </c>
      <c r="J2420" s="5">
        <v>620</v>
      </c>
    </row>
    <row r="2421" s="2" customFormat="1" ht="27" spans="1:10">
      <c r="A2421" s="6">
        <f>2419</f>
        <v>2419</v>
      </c>
      <c r="B2421" s="6" t="s">
        <v>6486</v>
      </c>
      <c r="C2421" s="6" t="s">
        <v>12</v>
      </c>
      <c r="D2421" s="6" t="s">
        <v>5505</v>
      </c>
      <c r="E2421" s="6" t="s">
        <v>6336</v>
      </c>
      <c r="F2421" s="6" t="s">
        <v>6487</v>
      </c>
      <c r="G2421" s="6" t="s">
        <v>16</v>
      </c>
      <c r="H2421" s="5">
        <v>6</v>
      </c>
      <c r="I2421" s="6" t="s">
        <v>6488</v>
      </c>
      <c r="J2421" s="5">
        <v>1010</v>
      </c>
    </row>
    <row r="2422" s="2" customFormat="1" spans="1:10">
      <c r="A2422" s="6">
        <f>2420</f>
        <v>2420</v>
      </c>
      <c r="B2422" s="6" t="s">
        <v>6489</v>
      </c>
      <c r="C2422" s="6" t="s">
        <v>12</v>
      </c>
      <c r="D2422" s="6" t="s">
        <v>5505</v>
      </c>
      <c r="E2422" s="6" t="s">
        <v>6336</v>
      </c>
      <c r="F2422" s="6" t="s">
        <v>6490</v>
      </c>
      <c r="G2422" s="6" t="s">
        <v>16</v>
      </c>
      <c r="H2422" s="5">
        <v>1</v>
      </c>
      <c r="I2422" s="6" t="s">
        <v>6490</v>
      </c>
      <c r="J2422" s="5">
        <v>410</v>
      </c>
    </row>
    <row r="2423" s="2" customFormat="1" spans="1:10">
      <c r="A2423" s="6">
        <f>2421</f>
        <v>2421</v>
      </c>
      <c r="B2423" s="6" t="s">
        <v>6491</v>
      </c>
      <c r="C2423" s="6" t="s">
        <v>12</v>
      </c>
      <c r="D2423" s="6" t="s">
        <v>5505</v>
      </c>
      <c r="E2423" s="6" t="s">
        <v>6336</v>
      </c>
      <c r="F2423" s="6" t="s">
        <v>6492</v>
      </c>
      <c r="G2423" s="6" t="s">
        <v>16</v>
      </c>
      <c r="H2423" s="5">
        <v>3</v>
      </c>
      <c r="I2423" s="6" t="s">
        <v>6493</v>
      </c>
      <c r="J2423" s="5">
        <v>774</v>
      </c>
    </row>
    <row r="2424" s="2" customFormat="1" spans="1:10">
      <c r="A2424" s="6">
        <f>2422</f>
        <v>2422</v>
      </c>
      <c r="B2424" s="6" t="s">
        <v>6494</v>
      </c>
      <c r="C2424" s="6" t="s">
        <v>12</v>
      </c>
      <c r="D2424" s="6" t="s">
        <v>5505</v>
      </c>
      <c r="E2424" s="6" t="s">
        <v>6336</v>
      </c>
      <c r="F2424" s="6" t="s">
        <v>6495</v>
      </c>
      <c r="G2424" s="6" t="s">
        <v>16</v>
      </c>
      <c r="H2424" s="5">
        <v>3</v>
      </c>
      <c r="I2424" s="6" t="s">
        <v>6496</v>
      </c>
      <c r="J2424" s="5">
        <v>1320</v>
      </c>
    </row>
    <row r="2425" s="2" customFormat="1" ht="27" spans="1:10">
      <c r="A2425" s="6">
        <f>2423</f>
        <v>2423</v>
      </c>
      <c r="B2425" s="6" t="s">
        <v>6497</v>
      </c>
      <c r="C2425" s="6" t="s">
        <v>12</v>
      </c>
      <c r="D2425" s="6" t="s">
        <v>5505</v>
      </c>
      <c r="E2425" s="6" t="s">
        <v>6336</v>
      </c>
      <c r="F2425" s="6" t="s">
        <v>6498</v>
      </c>
      <c r="G2425" s="6" t="s">
        <v>16</v>
      </c>
      <c r="H2425" s="5">
        <v>4</v>
      </c>
      <c r="I2425" s="6" t="s">
        <v>6499</v>
      </c>
      <c r="J2425" s="5">
        <v>916</v>
      </c>
    </row>
    <row r="2426" s="2" customFormat="1" spans="1:10">
      <c r="A2426" s="6">
        <f>2424</f>
        <v>2424</v>
      </c>
      <c r="B2426" s="6" t="s">
        <v>6500</v>
      </c>
      <c r="C2426" s="6" t="s">
        <v>12</v>
      </c>
      <c r="D2426" s="6" t="s">
        <v>5505</v>
      </c>
      <c r="E2426" s="6" t="s">
        <v>6336</v>
      </c>
      <c r="F2426" s="6" t="s">
        <v>6501</v>
      </c>
      <c r="G2426" s="6" t="s">
        <v>16</v>
      </c>
      <c r="H2426" s="5">
        <v>1</v>
      </c>
      <c r="I2426" s="6" t="s">
        <v>6501</v>
      </c>
      <c r="J2426" s="5">
        <v>360</v>
      </c>
    </row>
    <row r="2427" s="2" customFormat="1" spans="1:10">
      <c r="A2427" s="6">
        <f>2425</f>
        <v>2425</v>
      </c>
      <c r="B2427" s="6" t="s">
        <v>6502</v>
      </c>
      <c r="C2427" s="6" t="s">
        <v>12</v>
      </c>
      <c r="D2427" s="6" t="s">
        <v>5505</v>
      </c>
      <c r="E2427" s="6" t="s">
        <v>6336</v>
      </c>
      <c r="F2427" s="6" t="s">
        <v>6503</v>
      </c>
      <c r="G2427" s="6" t="s">
        <v>16</v>
      </c>
      <c r="H2427" s="5">
        <v>1</v>
      </c>
      <c r="I2427" s="6" t="s">
        <v>6503</v>
      </c>
      <c r="J2427" s="5">
        <v>238</v>
      </c>
    </row>
    <row r="2428" s="2" customFormat="1" spans="1:10">
      <c r="A2428" s="6">
        <f>2426</f>
        <v>2426</v>
      </c>
      <c r="B2428" s="6" t="s">
        <v>6504</v>
      </c>
      <c r="C2428" s="6" t="s">
        <v>12</v>
      </c>
      <c r="D2428" s="6" t="s">
        <v>5505</v>
      </c>
      <c r="E2428" s="6" t="s">
        <v>6336</v>
      </c>
      <c r="F2428" s="6" t="s">
        <v>6505</v>
      </c>
      <c r="G2428" s="6" t="s">
        <v>16</v>
      </c>
      <c r="H2428" s="5">
        <v>2</v>
      </c>
      <c r="I2428" s="6" t="s">
        <v>6506</v>
      </c>
      <c r="J2428" s="5">
        <v>494</v>
      </c>
    </row>
    <row r="2429" s="2" customFormat="1" ht="27" spans="1:10">
      <c r="A2429" s="6">
        <f>2427</f>
        <v>2427</v>
      </c>
      <c r="B2429" s="6" t="s">
        <v>6507</v>
      </c>
      <c r="C2429" s="6" t="s">
        <v>12</v>
      </c>
      <c r="D2429" s="6" t="s">
        <v>5505</v>
      </c>
      <c r="E2429" s="6" t="s">
        <v>6336</v>
      </c>
      <c r="F2429" s="6" t="s">
        <v>6508</v>
      </c>
      <c r="G2429" s="6" t="s">
        <v>16</v>
      </c>
      <c r="H2429" s="5">
        <v>4</v>
      </c>
      <c r="I2429" s="6" t="s">
        <v>6509</v>
      </c>
      <c r="J2429" s="5">
        <v>1460</v>
      </c>
    </row>
    <row r="2430" s="2" customFormat="1" spans="1:10">
      <c r="A2430" s="6">
        <f>2428</f>
        <v>2428</v>
      </c>
      <c r="B2430" s="6" t="s">
        <v>6510</v>
      </c>
      <c r="C2430" s="6" t="s">
        <v>12</v>
      </c>
      <c r="D2430" s="6" t="s">
        <v>5505</v>
      </c>
      <c r="E2430" s="6" t="s">
        <v>6336</v>
      </c>
      <c r="F2430" s="6" t="s">
        <v>6511</v>
      </c>
      <c r="G2430" s="6" t="s">
        <v>16</v>
      </c>
      <c r="H2430" s="5">
        <v>1</v>
      </c>
      <c r="I2430" s="6" t="s">
        <v>6511</v>
      </c>
      <c r="J2430" s="5">
        <v>255</v>
      </c>
    </row>
    <row r="2431" s="2" customFormat="1" spans="1:10">
      <c r="A2431" s="6">
        <f>2429</f>
        <v>2429</v>
      </c>
      <c r="B2431" s="6" t="s">
        <v>6512</v>
      </c>
      <c r="C2431" s="6" t="s">
        <v>12</v>
      </c>
      <c r="D2431" s="6" t="s">
        <v>5505</v>
      </c>
      <c r="E2431" s="6" t="s">
        <v>6336</v>
      </c>
      <c r="F2431" s="6" t="s">
        <v>6513</v>
      </c>
      <c r="G2431" s="6" t="s">
        <v>16</v>
      </c>
      <c r="H2431" s="5">
        <v>3</v>
      </c>
      <c r="I2431" s="6" t="s">
        <v>6514</v>
      </c>
      <c r="J2431" s="5">
        <v>770</v>
      </c>
    </row>
    <row r="2432" s="2" customFormat="1" ht="27" spans="1:10">
      <c r="A2432" s="6">
        <f>2430</f>
        <v>2430</v>
      </c>
      <c r="B2432" s="6" t="s">
        <v>6515</v>
      </c>
      <c r="C2432" s="6" t="s">
        <v>12</v>
      </c>
      <c r="D2432" s="6" t="s">
        <v>5505</v>
      </c>
      <c r="E2432" s="6" t="s">
        <v>6336</v>
      </c>
      <c r="F2432" s="6" t="s">
        <v>6516</v>
      </c>
      <c r="G2432" s="6" t="s">
        <v>16</v>
      </c>
      <c r="H2432" s="5">
        <v>4</v>
      </c>
      <c r="I2432" s="6" t="s">
        <v>6517</v>
      </c>
      <c r="J2432" s="5">
        <v>1140</v>
      </c>
    </row>
    <row r="2433" s="2" customFormat="1" spans="1:10">
      <c r="A2433" s="6">
        <f>2431</f>
        <v>2431</v>
      </c>
      <c r="B2433" s="6" t="s">
        <v>6518</v>
      </c>
      <c r="C2433" s="6" t="s">
        <v>12</v>
      </c>
      <c r="D2433" s="6" t="s">
        <v>5505</v>
      </c>
      <c r="E2433" s="6" t="s">
        <v>6336</v>
      </c>
      <c r="F2433" s="6" t="s">
        <v>6519</v>
      </c>
      <c r="G2433" s="6" t="s">
        <v>16</v>
      </c>
      <c r="H2433" s="5">
        <v>3</v>
      </c>
      <c r="I2433" s="6" t="s">
        <v>6520</v>
      </c>
      <c r="J2433" s="5">
        <v>708</v>
      </c>
    </row>
    <row r="2434" s="2" customFormat="1" spans="1:10">
      <c r="A2434" s="6">
        <f>2432</f>
        <v>2432</v>
      </c>
      <c r="B2434" s="6" t="s">
        <v>6521</v>
      </c>
      <c r="C2434" s="6" t="s">
        <v>12</v>
      </c>
      <c r="D2434" s="6" t="s">
        <v>5505</v>
      </c>
      <c r="E2434" s="6" t="s">
        <v>6336</v>
      </c>
      <c r="F2434" s="6" t="s">
        <v>6522</v>
      </c>
      <c r="G2434" s="6" t="s">
        <v>16</v>
      </c>
      <c r="H2434" s="5">
        <v>2</v>
      </c>
      <c r="I2434" s="6" t="s">
        <v>6523</v>
      </c>
      <c r="J2434" s="5">
        <v>510</v>
      </c>
    </row>
    <row r="2435" s="2" customFormat="1" spans="1:10">
      <c r="A2435" s="6">
        <f>2433</f>
        <v>2433</v>
      </c>
      <c r="B2435" s="6" t="s">
        <v>6524</v>
      </c>
      <c r="C2435" s="6" t="s">
        <v>12</v>
      </c>
      <c r="D2435" s="6" t="s">
        <v>5505</v>
      </c>
      <c r="E2435" s="6" t="s">
        <v>6336</v>
      </c>
      <c r="F2435" s="6" t="s">
        <v>6525</v>
      </c>
      <c r="G2435" s="6" t="s">
        <v>16</v>
      </c>
      <c r="H2435" s="5">
        <v>3</v>
      </c>
      <c r="I2435" s="6" t="s">
        <v>6526</v>
      </c>
      <c r="J2435" s="5">
        <v>720</v>
      </c>
    </row>
    <row r="2436" s="2" customFormat="1" spans="1:10">
      <c r="A2436" s="6">
        <f>2434</f>
        <v>2434</v>
      </c>
      <c r="B2436" s="6" t="s">
        <v>6527</v>
      </c>
      <c r="C2436" s="6" t="s">
        <v>12</v>
      </c>
      <c r="D2436" s="6" t="s">
        <v>5505</v>
      </c>
      <c r="E2436" s="6" t="s">
        <v>6336</v>
      </c>
      <c r="F2436" s="6" t="s">
        <v>6528</v>
      </c>
      <c r="G2436" s="6" t="s">
        <v>16</v>
      </c>
      <c r="H2436" s="5">
        <v>2</v>
      </c>
      <c r="I2436" s="6" t="s">
        <v>6529</v>
      </c>
      <c r="J2436" s="5">
        <v>440</v>
      </c>
    </row>
    <row r="2437" s="2" customFormat="1" ht="27" spans="1:10">
      <c r="A2437" s="6">
        <f>2435</f>
        <v>2435</v>
      </c>
      <c r="B2437" s="6" t="s">
        <v>6530</v>
      </c>
      <c r="C2437" s="6" t="s">
        <v>12</v>
      </c>
      <c r="D2437" s="6" t="s">
        <v>5505</v>
      </c>
      <c r="E2437" s="6" t="s">
        <v>6336</v>
      </c>
      <c r="F2437" s="6" t="s">
        <v>6531</v>
      </c>
      <c r="G2437" s="6" t="s">
        <v>16</v>
      </c>
      <c r="H2437" s="5">
        <v>4</v>
      </c>
      <c r="I2437" s="6" t="s">
        <v>6532</v>
      </c>
      <c r="J2437" s="5">
        <v>1140</v>
      </c>
    </row>
    <row r="2438" s="2" customFormat="1" spans="1:10">
      <c r="A2438" s="6">
        <f>2436</f>
        <v>2436</v>
      </c>
      <c r="B2438" s="6" t="s">
        <v>6533</v>
      </c>
      <c r="C2438" s="6" t="s">
        <v>12</v>
      </c>
      <c r="D2438" s="6" t="s">
        <v>5505</v>
      </c>
      <c r="E2438" s="6" t="s">
        <v>6336</v>
      </c>
      <c r="F2438" s="6" t="s">
        <v>6534</v>
      </c>
      <c r="G2438" s="6" t="s">
        <v>16</v>
      </c>
      <c r="H2438" s="5">
        <v>1</v>
      </c>
      <c r="I2438" s="6" t="s">
        <v>6534</v>
      </c>
      <c r="J2438" s="5">
        <v>480</v>
      </c>
    </row>
    <row r="2439" s="2" customFormat="1" spans="1:10">
      <c r="A2439" s="6">
        <f>2437</f>
        <v>2437</v>
      </c>
      <c r="B2439" s="6" t="s">
        <v>6535</v>
      </c>
      <c r="C2439" s="6" t="s">
        <v>12</v>
      </c>
      <c r="D2439" s="6" t="s">
        <v>5505</v>
      </c>
      <c r="E2439" s="6" t="s">
        <v>6336</v>
      </c>
      <c r="F2439" s="6" t="s">
        <v>6536</v>
      </c>
      <c r="G2439" s="6" t="s">
        <v>16</v>
      </c>
      <c r="H2439" s="5">
        <v>2</v>
      </c>
      <c r="I2439" s="6" t="s">
        <v>6537</v>
      </c>
      <c r="J2439" s="5">
        <v>420</v>
      </c>
    </row>
    <row r="2440" s="2" customFormat="1" ht="27" spans="1:10">
      <c r="A2440" s="6">
        <f>2438</f>
        <v>2438</v>
      </c>
      <c r="B2440" s="6" t="s">
        <v>6538</v>
      </c>
      <c r="C2440" s="6" t="s">
        <v>12</v>
      </c>
      <c r="D2440" s="6" t="s">
        <v>5505</v>
      </c>
      <c r="E2440" s="6" t="s">
        <v>6336</v>
      </c>
      <c r="F2440" s="6" t="s">
        <v>6539</v>
      </c>
      <c r="G2440" s="6" t="s">
        <v>16</v>
      </c>
      <c r="H2440" s="5">
        <v>5</v>
      </c>
      <c r="I2440" s="6" t="s">
        <v>6540</v>
      </c>
      <c r="J2440" s="5">
        <v>1100</v>
      </c>
    </row>
    <row r="2441" s="2" customFormat="1" spans="1:10">
      <c r="A2441" s="6">
        <f>2439</f>
        <v>2439</v>
      </c>
      <c r="B2441" s="6" t="s">
        <v>6541</v>
      </c>
      <c r="C2441" s="6" t="s">
        <v>12</v>
      </c>
      <c r="D2441" s="6" t="s">
        <v>5505</v>
      </c>
      <c r="E2441" s="6" t="s">
        <v>6336</v>
      </c>
      <c r="F2441" s="6" t="s">
        <v>6542</v>
      </c>
      <c r="G2441" s="6" t="s">
        <v>16</v>
      </c>
      <c r="H2441" s="5">
        <v>2</v>
      </c>
      <c r="I2441" s="6" t="s">
        <v>6543</v>
      </c>
      <c r="J2441" s="5">
        <v>564</v>
      </c>
    </row>
    <row r="2442" s="2" customFormat="1" spans="1:10">
      <c r="A2442" s="6">
        <f>2440</f>
        <v>2440</v>
      </c>
      <c r="B2442" s="6" t="s">
        <v>6544</v>
      </c>
      <c r="C2442" s="6" t="s">
        <v>12</v>
      </c>
      <c r="D2442" s="6" t="s">
        <v>5505</v>
      </c>
      <c r="E2442" s="6" t="s">
        <v>6336</v>
      </c>
      <c r="F2442" s="6" t="s">
        <v>6545</v>
      </c>
      <c r="G2442" s="6" t="s">
        <v>16</v>
      </c>
      <c r="H2442" s="5">
        <v>3</v>
      </c>
      <c r="I2442" s="6" t="s">
        <v>6546</v>
      </c>
      <c r="J2442" s="5">
        <v>741</v>
      </c>
    </row>
    <row r="2443" s="2" customFormat="1" spans="1:10">
      <c r="A2443" s="6">
        <f>2441</f>
        <v>2441</v>
      </c>
      <c r="B2443" s="6" t="s">
        <v>6547</v>
      </c>
      <c r="C2443" s="6" t="s">
        <v>12</v>
      </c>
      <c r="D2443" s="6" t="s">
        <v>5505</v>
      </c>
      <c r="E2443" s="6" t="s">
        <v>6336</v>
      </c>
      <c r="F2443" s="6" t="s">
        <v>6548</v>
      </c>
      <c r="G2443" s="6" t="s">
        <v>16</v>
      </c>
      <c r="H2443" s="5">
        <v>3</v>
      </c>
      <c r="I2443" s="6" t="s">
        <v>6549</v>
      </c>
      <c r="J2443" s="5">
        <v>686</v>
      </c>
    </row>
    <row r="2444" s="2" customFormat="1" ht="27" spans="1:10">
      <c r="A2444" s="6">
        <f>2442</f>
        <v>2442</v>
      </c>
      <c r="B2444" s="6" t="s">
        <v>6550</v>
      </c>
      <c r="C2444" s="6" t="s">
        <v>12</v>
      </c>
      <c r="D2444" s="6" t="s">
        <v>5505</v>
      </c>
      <c r="E2444" s="6" t="s">
        <v>6336</v>
      </c>
      <c r="F2444" s="6" t="s">
        <v>6551</v>
      </c>
      <c r="G2444" s="6" t="s">
        <v>16</v>
      </c>
      <c r="H2444" s="5">
        <v>5</v>
      </c>
      <c r="I2444" s="6" t="s">
        <v>6552</v>
      </c>
      <c r="J2444" s="5">
        <v>900</v>
      </c>
    </row>
    <row r="2445" s="2" customFormat="1" spans="1:10">
      <c r="A2445" s="6">
        <f>2443</f>
        <v>2443</v>
      </c>
      <c r="B2445" s="6" t="s">
        <v>6553</v>
      </c>
      <c r="C2445" s="6" t="s">
        <v>12</v>
      </c>
      <c r="D2445" s="6" t="s">
        <v>5505</v>
      </c>
      <c r="E2445" s="6" t="s">
        <v>6336</v>
      </c>
      <c r="F2445" s="6" t="s">
        <v>6554</v>
      </c>
      <c r="G2445" s="6" t="s">
        <v>16</v>
      </c>
      <c r="H2445" s="5">
        <v>1</v>
      </c>
      <c r="I2445" s="6" t="s">
        <v>6554</v>
      </c>
      <c r="J2445" s="5">
        <v>288</v>
      </c>
    </row>
    <row r="2446" s="2" customFormat="1" spans="1:10">
      <c r="A2446" s="6">
        <f>2444</f>
        <v>2444</v>
      </c>
      <c r="B2446" s="6" t="s">
        <v>6555</v>
      </c>
      <c r="C2446" s="6" t="s">
        <v>12</v>
      </c>
      <c r="D2446" s="6" t="s">
        <v>5505</v>
      </c>
      <c r="E2446" s="6" t="s">
        <v>6336</v>
      </c>
      <c r="F2446" s="6" t="s">
        <v>6556</v>
      </c>
      <c r="G2446" s="6" t="s">
        <v>16</v>
      </c>
      <c r="H2446" s="5">
        <v>2</v>
      </c>
      <c r="I2446" s="6" t="s">
        <v>6557</v>
      </c>
      <c r="J2446" s="5">
        <v>608</v>
      </c>
    </row>
    <row r="2447" s="2" customFormat="1" spans="1:10">
      <c r="A2447" s="6">
        <f>2445</f>
        <v>2445</v>
      </c>
      <c r="B2447" s="6" t="s">
        <v>6558</v>
      </c>
      <c r="C2447" s="6" t="s">
        <v>12</v>
      </c>
      <c r="D2447" s="6" t="s">
        <v>5505</v>
      </c>
      <c r="E2447" s="6" t="s">
        <v>6336</v>
      </c>
      <c r="F2447" s="6" t="s">
        <v>6559</v>
      </c>
      <c r="G2447" s="6" t="s">
        <v>16</v>
      </c>
      <c r="H2447" s="5">
        <v>2</v>
      </c>
      <c r="I2447" s="6" t="s">
        <v>6560</v>
      </c>
      <c r="J2447" s="5">
        <v>620</v>
      </c>
    </row>
    <row r="2448" s="2" customFormat="1" spans="1:10">
      <c r="A2448" s="6">
        <f>2446</f>
        <v>2446</v>
      </c>
      <c r="B2448" s="6" t="s">
        <v>6561</v>
      </c>
      <c r="C2448" s="6" t="s">
        <v>12</v>
      </c>
      <c r="D2448" s="6" t="s">
        <v>5505</v>
      </c>
      <c r="E2448" s="6" t="s">
        <v>6336</v>
      </c>
      <c r="F2448" s="6" t="s">
        <v>6562</v>
      </c>
      <c r="G2448" s="6" t="s">
        <v>16</v>
      </c>
      <c r="H2448" s="5">
        <v>3</v>
      </c>
      <c r="I2448" s="6" t="s">
        <v>6563</v>
      </c>
      <c r="J2448" s="5">
        <v>630</v>
      </c>
    </row>
    <row r="2449" s="2" customFormat="1" spans="1:10">
      <c r="A2449" s="6">
        <f>2447</f>
        <v>2447</v>
      </c>
      <c r="B2449" s="6" t="s">
        <v>6564</v>
      </c>
      <c r="C2449" s="6" t="s">
        <v>12</v>
      </c>
      <c r="D2449" s="6" t="s">
        <v>5505</v>
      </c>
      <c r="E2449" s="6" t="s">
        <v>6336</v>
      </c>
      <c r="F2449" s="6" t="s">
        <v>6565</v>
      </c>
      <c r="G2449" s="6" t="s">
        <v>16</v>
      </c>
      <c r="H2449" s="5">
        <v>1</v>
      </c>
      <c r="I2449" s="6" t="s">
        <v>6565</v>
      </c>
      <c r="J2449" s="5">
        <v>295</v>
      </c>
    </row>
    <row r="2450" s="2" customFormat="1" spans="1:10">
      <c r="A2450" s="6">
        <f>2448</f>
        <v>2448</v>
      </c>
      <c r="B2450" s="6" t="s">
        <v>6566</v>
      </c>
      <c r="C2450" s="6" t="s">
        <v>12</v>
      </c>
      <c r="D2450" s="6" t="s">
        <v>5505</v>
      </c>
      <c r="E2450" s="6" t="s">
        <v>6336</v>
      </c>
      <c r="F2450" s="6" t="s">
        <v>6567</v>
      </c>
      <c r="G2450" s="6" t="s">
        <v>16</v>
      </c>
      <c r="H2450" s="5">
        <v>2</v>
      </c>
      <c r="I2450" s="6" t="s">
        <v>6568</v>
      </c>
      <c r="J2450" s="5">
        <v>466</v>
      </c>
    </row>
    <row r="2451" s="2" customFormat="1" ht="27" spans="1:10">
      <c r="A2451" s="6">
        <f>2449</f>
        <v>2449</v>
      </c>
      <c r="B2451" s="6" t="s">
        <v>6569</v>
      </c>
      <c r="C2451" s="6" t="s">
        <v>12</v>
      </c>
      <c r="D2451" s="6" t="s">
        <v>5505</v>
      </c>
      <c r="E2451" s="6" t="s">
        <v>6336</v>
      </c>
      <c r="F2451" s="6" t="s">
        <v>6570</v>
      </c>
      <c r="G2451" s="6" t="s">
        <v>16</v>
      </c>
      <c r="H2451" s="5">
        <v>4</v>
      </c>
      <c r="I2451" s="6" t="s">
        <v>6571</v>
      </c>
      <c r="J2451" s="5">
        <v>840</v>
      </c>
    </row>
    <row r="2452" s="2" customFormat="1" spans="1:10">
      <c r="A2452" s="6">
        <f>2450</f>
        <v>2450</v>
      </c>
      <c r="B2452" s="6" t="s">
        <v>6572</v>
      </c>
      <c r="C2452" s="6" t="s">
        <v>12</v>
      </c>
      <c r="D2452" s="6" t="s">
        <v>5505</v>
      </c>
      <c r="E2452" s="6" t="s">
        <v>6336</v>
      </c>
      <c r="F2452" s="6" t="s">
        <v>6573</v>
      </c>
      <c r="G2452" s="6" t="s">
        <v>16</v>
      </c>
      <c r="H2452" s="5">
        <v>3</v>
      </c>
      <c r="I2452" s="6" t="s">
        <v>6574</v>
      </c>
      <c r="J2452" s="5">
        <v>770</v>
      </c>
    </row>
    <row r="2453" s="2" customFormat="1" spans="1:10">
      <c r="A2453" s="6">
        <f>2451</f>
        <v>2451</v>
      </c>
      <c r="B2453" s="6" t="s">
        <v>6575</v>
      </c>
      <c r="C2453" s="6" t="s">
        <v>12</v>
      </c>
      <c r="D2453" s="6" t="s">
        <v>5505</v>
      </c>
      <c r="E2453" s="6" t="s">
        <v>6336</v>
      </c>
      <c r="F2453" s="6" t="s">
        <v>5511</v>
      </c>
      <c r="G2453" s="6" t="s">
        <v>16</v>
      </c>
      <c r="H2453" s="5">
        <v>1</v>
      </c>
      <c r="I2453" s="6" t="s">
        <v>5511</v>
      </c>
      <c r="J2453" s="5">
        <v>410</v>
      </c>
    </row>
    <row r="2454" s="2" customFormat="1" spans="1:10">
      <c r="A2454" s="6">
        <f>2452</f>
        <v>2452</v>
      </c>
      <c r="B2454" s="6" t="s">
        <v>6576</v>
      </c>
      <c r="C2454" s="6" t="s">
        <v>12</v>
      </c>
      <c r="D2454" s="6" t="s">
        <v>5505</v>
      </c>
      <c r="E2454" s="6" t="s">
        <v>6336</v>
      </c>
      <c r="F2454" s="6" t="s">
        <v>6577</v>
      </c>
      <c r="G2454" s="6" t="s">
        <v>16</v>
      </c>
      <c r="H2454" s="5">
        <v>3</v>
      </c>
      <c r="I2454" s="6" t="s">
        <v>6578</v>
      </c>
      <c r="J2454" s="5">
        <v>670</v>
      </c>
    </row>
    <row r="2455" s="2" customFormat="1" spans="1:10">
      <c r="A2455" s="6">
        <f>2453</f>
        <v>2453</v>
      </c>
      <c r="B2455" s="6" t="s">
        <v>6579</v>
      </c>
      <c r="C2455" s="6" t="s">
        <v>12</v>
      </c>
      <c r="D2455" s="6" t="s">
        <v>5505</v>
      </c>
      <c r="E2455" s="6" t="s">
        <v>6336</v>
      </c>
      <c r="F2455" s="6" t="s">
        <v>6580</v>
      </c>
      <c r="G2455" s="6" t="s">
        <v>16</v>
      </c>
      <c r="H2455" s="5">
        <v>2</v>
      </c>
      <c r="I2455" s="6" t="s">
        <v>6581</v>
      </c>
      <c r="J2455" s="5">
        <v>466</v>
      </c>
    </row>
    <row r="2456" s="2" customFormat="1" spans="1:10">
      <c r="A2456" s="6">
        <f>2454</f>
        <v>2454</v>
      </c>
      <c r="B2456" s="6" t="s">
        <v>6582</v>
      </c>
      <c r="C2456" s="6" t="s">
        <v>12</v>
      </c>
      <c r="D2456" s="6" t="s">
        <v>5505</v>
      </c>
      <c r="E2456" s="6" t="s">
        <v>6336</v>
      </c>
      <c r="F2456" s="6" t="s">
        <v>6583</v>
      </c>
      <c r="G2456" s="6" t="s">
        <v>16</v>
      </c>
      <c r="H2456" s="5">
        <v>3</v>
      </c>
      <c r="I2456" s="6" t="s">
        <v>6584</v>
      </c>
      <c r="J2456" s="5">
        <v>758</v>
      </c>
    </row>
    <row r="2457" s="2" customFormat="1" spans="1:10">
      <c r="A2457" s="6">
        <f>2455</f>
        <v>2455</v>
      </c>
      <c r="B2457" s="6" t="s">
        <v>6585</v>
      </c>
      <c r="C2457" s="6" t="s">
        <v>12</v>
      </c>
      <c r="D2457" s="6" t="s">
        <v>5505</v>
      </c>
      <c r="E2457" s="6" t="s">
        <v>6336</v>
      </c>
      <c r="F2457" s="6" t="s">
        <v>6586</v>
      </c>
      <c r="G2457" s="6" t="s">
        <v>16</v>
      </c>
      <c r="H2457" s="5">
        <v>1</v>
      </c>
      <c r="I2457" s="6" t="s">
        <v>6586</v>
      </c>
      <c r="J2457" s="5">
        <v>260</v>
      </c>
    </row>
    <row r="2458" s="2" customFormat="1" spans="1:10">
      <c r="A2458" s="6">
        <f>2456</f>
        <v>2456</v>
      </c>
      <c r="B2458" s="6" t="s">
        <v>6587</v>
      </c>
      <c r="C2458" s="6" t="s">
        <v>12</v>
      </c>
      <c r="D2458" s="6" t="s">
        <v>5505</v>
      </c>
      <c r="E2458" s="6" t="s">
        <v>6336</v>
      </c>
      <c r="F2458" s="6" t="s">
        <v>6588</v>
      </c>
      <c r="G2458" s="6" t="s">
        <v>16</v>
      </c>
      <c r="H2458" s="5">
        <v>2</v>
      </c>
      <c r="I2458" s="6" t="s">
        <v>6589</v>
      </c>
      <c r="J2458" s="5">
        <v>480</v>
      </c>
    </row>
    <row r="2459" s="2" customFormat="1" spans="1:10">
      <c r="A2459" s="6">
        <f>2457</f>
        <v>2457</v>
      </c>
      <c r="B2459" s="6" t="s">
        <v>6590</v>
      </c>
      <c r="C2459" s="6" t="s">
        <v>12</v>
      </c>
      <c r="D2459" s="6" t="s">
        <v>5505</v>
      </c>
      <c r="E2459" s="6" t="s">
        <v>6336</v>
      </c>
      <c r="F2459" s="6" t="s">
        <v>6591</v>
      </c>
      <c r="G2459" s="6" t="s">
        <v>16</v>
      </c>
      <c r="H2459" s="5">
        <v>2</v>
      </c>
      <c r="I2459" s="6" t="s">
        <v>6592</v>
      </c>
      <c r="J2459" s="5">
        <v>920</v>
      </c>
    </row>
    <row r="2460" s="2" customFormat="1" spans="1:10">
      <c r="A2460" s="6">
        <f>2458</f>
        <v>2458</v>
      </c>
      <c r="B2460" s="6" t="s">
        <v>6593</v>
      </c>
      <c r="C2460" s="6" t="s">
        <v>12</v>
      </c>
      <c r="D2460" s="6" t="s">
        <v>5505</v>
      </c>
      <c r="E2460" s="6" t="s">
        <v>6336</v>
      </c>
      <c r="F2460" s="6" t="s">
        <v>6594</v>
      </c>
      <c r="G2460" s="6" t="s">
        <v>16</v>
      </c>
      <c r="H2460" s="5">
        <v>2</v>
      </c>
      <c r="I2460" s="6" t="s">
        <v>6595</v>
      </c>
      <c r="J2460" s="5">
        <v>501</v>
      </c>
    </row>
    <row r="2461" s="2" customFormat="1" spans="1:10">
      <c r="A2461" s="6">
        <f>2459</f>
        <v>2459</v>
      </c>
      <c r="B2461" s="6" t="s">
        <v>6596</v>
      </c>
      <c r="C2461" s="6" t="s">
        <v>12</v>
      </c>
      <c r="D2461" s="6" t="s">
        <v>5505</v>
      </c>
      <c r="E2461" s="6" t="s">
        <v>6336</v>
      </c>
      <c r="F2461" s="6" t="s">
        <v>6597</v>
      </c>
      <c r="G2461" s="6" t="s">
        <v>16</v>
      </c>
      <c r="H2461" s="5">
        <v>1</v>
      </c>
      <c r="I2461" s="6" t="s">
        <v>6597</v>
      </c>
      <c r="J2461" s="5">
        <v>620</v>
      </c>
    </row>
    <row r="2462" s="2" customFormat="1" spans="1:10">
      <c r="A2462" s="6">
        <f>2460</f>
        <v>2460</v>
      </c>
      <c r="B2462" s="6" t="s">
        <v>6598</v>
      </c>
      <c r="C2462" s="6" t="s">
        <v>12</v>
      </c>
      <c r="D2462" s="6" t="s">
        <v>5505</v>
      </c>
      <c r="E2462" s="6" t="s">
        <v>6336</v>
      </c>
      <c r="F2462" s="6" t="s">
        <v>6599</v>
      </c>
      <c r="G2462" s="6" t="s">
        <v>16</v>
      </c>
      <c r="H2462" s="5">
        <v>1</v>
      </c>
      <c r="I2462" s="6" t="s">
        <v>6599</v>
      </c>
      <c r="J2462" s="5">
        <v>254</v>
      </c>
    </row>
    <row r="2463" s="2" customFormat="1" spans="1:10">
      <c r="A2463" s="6">
        <f>2461</f>
        <v>2461</v>
      </c>
      <c r="B2463" s="6" t="s">
        <v>6600</v>
      </c>
      <c r="C2463" s="6" t="s">
        <v>12</v>
      </c>
      <c r="D2463" s="6" t="s">
        <v>5505</v>
      </c>
      <c r="E2463" s="6" t="s">
        <v>6336</v>
      </c>
      <c r="F2463" s="6" t="s">
        <v>6601</v>
      </c>
      <c r="G2463" s="6" t="s">
        <v>16</v>
      </c>
      <c r="H2463" s="5">
        <v>3</v>
      </c>
      <c r="I2463" s="6" t="s">
        <v>6602</v>
      </c>
      <c r="J2463" s="5">
        <v>580</v>
      </c>
    </row>
    <row r="2464" s="2" customFormat="1" ht="27" spans="1:10">
      <c r="A2464" s="6">
        <f>2462</f>
        <v>2462</v>
      </c>
      <c r="B2464" s="6" t="s">
        <v>6603</v>
      </c>
      <c r="C2464" s="6" t="s">
        <v>12</v>
      </c>
      <c r="D2464" s="6" t="s">
        <v>5505</v>
      </c>
      <c r="E2464" s="6" t="s">
        <v>6336</v>
      </c>
      <c r="F2464" s="6" t="s">
        <v>6604</v>
      </c>
      <c r="G2464" s="6" t="s">
        <v>16</v>
      </c>
      <c r="H2464" s="5">
        <v>4</v>
      </c>
      <c r="I2464" s="6" t="s">
        <v>6605</v>
      </c>
      <c r="J2464" s="5">
        <v>760</v>
      </c>
    </row>
    <row r="2465" s="2" customFormat="1" spans="1:10">
      <c r="A2465" s="6">
        <f>2463</f>
        <v>2463</v>
      </c>
      <c r="B2465" s="6" t="s">
        <v>6606</v>
      </c>
      <c r="C2465" s="6" t="s">
        <v>12</v>
      </c>
      <c r="D2465" s="6" t="s">
        <v>5505</v>
      </c>
      <c r="E2465" s="6" t="s">
        <v>6336</v>
      </c>
      <c r="F2465" s="6" t="s">
        <v>6607</v>
      </c>
      <c r="G2465" s="6" t="s">
        <v>16</v>
      </c>
      <c r="H2465" s="5">
        <v>2</v>
      </c>
      <c r="I2465" s="6" t="s">
        <v>6608</v>
      </c>
      <c r="J2465" s="5">
        <v>420</v>
      </c>
    </row>
    <row r="2466" s="2" customFormat="1" spans="1:10">
      <c r="A2466" s="6">
        <f>2464</f>
        <v>2464</v>
      </c>
      <c r="B2466" s="6" t="s">
        <v>6609</v>
      </c>
      <c r="C2466" s="6" t="s">
        <v>12</v>
      </c>
      <c r="D2466" s="6" t="s">
        <v>5505</v>
      </c>
      <c r="E2466" s="6" t="s">
        <v>6336</v>
      </c>
      <c r="F2466" s="6" t="s">
        <v>6610</v>
      </c>
      <c r="G2466" s="6" t="s">
        <v>16</v>
      </c>
      <c r="H2466" s="5">
        <v>2</v>
      </c>
      <c r="I2466" s="6" t="s">
        <v>6611</v>
      </c>
      <c r="J2466" s="5">
        <v>520</v>
      </c>
    </row>
    <row r="2467" s="2" customFormat="1" spans="1:10">
      <c r="A2467" s="6">
        <f>2465</f>
        <v>2465</v>
      </c>
      <c r="B2467" s="6" t="s">
        <v>6612</v>
      </c>
      <c r="C2467" s="6" t="s">
        <v>12</v>
      </c>
      <c r="D2467" s="6" t="s">
        <v>5505</v>
      </c>
      <c r="E2467" s="6" t="s">
        <v>6336</v>
      </c>
      <c r="F2467" s="6" t="s">
        <v>6613</v>
      </c>
      <c r="G2467" s="6" t="s">
        <v>16</v>
      </c>
      <c r="H2467" s="5">
        <v>2</v>
      </c>
      <c r="I2467" s="6" t="s">
        <v>6614</v>
      </c>
      <c r="J2467" s="5">
        <v>414</v>
      </c>
    </row>
    <row r="2468" s="2" customFormat="1" spans="1:10">
      <c r="A2468" s="6">
        <f>2466</f>
        <v>2466</v>
      </c>
      <c r="B2468" s="6" t="s">
        <v>6615</v>
      </c>
      <c r="C2468" s="6" t="s">
        <v>12</v>
      </c>
      <c r="D2468" s="6" t="s">
        <v>5505</v>
      </c>
      <c r="E2468" s="6" t="s">
        <v>6336</v>
      </c>
      <c r="F2468" s="6" t="s">
        <v>6616</v>
      </c>
      <c r="G2468" s="6" t="s">
        <v>16</v>
      </c>
      <c r="H2468" s="5">
        <v>3</v>
      </c>
      <c r="I2468" s="6" t="s">
        <v>6617</v>
      </c>
      <c r="J2468" s="5">
        <v>1080</v>
      </c>
    </row>
    <row r="2469" s="2" customFormat="1" spans="1:10">
      <c r="A2469" s="6">
        <f>2467</f>
        <v>2467</v>
      </c>
      <c r="B2469" s="6" t="s">
        <v>6618</v>
      </c>
      <c r="C2469" s="6" t="s">
        <v>12</v>
      </c>
      <c r="D2469" s="6" t="s">
        <v>5505</v>
      </c>
      <c r="E2469" s="6" t="s">
        <v>6336</v>
      </c>
      <c r="F2469" s="6" t="s">
        <v>6619</v>
      </c>
      <c r="G2469" s="6" t="s">
        <v>16</v>
      </c>
      <c r="H2469" s="5">
        <v>2</v>
      </c>
      <c r="I2469" s="6" t="s">
        <v>6620</v>
      </c>
      <c r="J2469" s="5">
        <v>880</v>
      </c>
    </row>
    <row r="2470" s="2" customFormat="1" spans="1:10">
      <c r="A2470" s="6">
        <f>2468</f>
        <v>2468</v>
      </c>
      <c r="B2470" s="6" t="s">
        <v>6621</v>
      </c>
      <c r="C2470" s="6" t="s">
        <v>12</v>
      </c>
      <c r="D2470" s="6" t="s">
        <v>5505</v>
      </c>
      <c r="E2470" s="6" t="s">
        <v>6336</v>
      </c>
      <c r="F2470" s="6" t="s">
        <v>6622</v>
      </c>
      <c r="G2470" s="6" t="s">
        <v>16</v>
      </c>
      <c r="H2470" s="5">
        <v>1</v>
      </c>
      <c r="I2470" s="6" t="s">
        <v>6622</v>
      </c>
      <c r="J2470" s="5">
        <v>345</v>
      </c>
    </row>
    <row r="2471" s="2" customFormat="1" spans="1:10">
      <c r="A2471" s="6">
        <f>2469</f>
        <v>2469</v>
      </c>
      <c r="B2471" s="6" t="s">
        <v>6623</v>
      </c>
      <c r="C2471" s="6" t="s">
        <v>12</v>
      </c>
      <c r="D2471" s="6" t="s">
        <v>5505</v>
      </c>
      <c r="E2471" s="6" t="s">
        <v>6336</v>
      </c>
      <c r="F2471" s="6" t="s">
        <v>6624</v>
      </c>
      <c r="G2471" s="6" t="s">
        <v>16</v>
      </c>
      <c r="H2471" s="5">
        <v>1</v>
      </c>
      <c r="I2471" s="6" t="s">
        <v>6624</v>
      </c>
      <c r="J2471" s="5">
        <v>260</v>
      </c>
    </row>
    <row r="2472" s="2" customFormat="1" ht="27" spans="1:10">
      <c r="A2472" s="6">
        <f>2470</f>
        <v>2470</v>
      </c>
      <c r="B2472" s="6" t="s">
        <v>6625</v>
      </c>
      <c r="C2472" s="6" t="s">
        <v>12</v>
      </c>
      <c r="D2472" s="6" t="s">
        <v>5505</v>
      </c>
      <c r="E2472" s="6" t="s">
        <v>6336</v>
      </c>
      <c r="F2472" s="6" t="s">
        <v>6626</v>
      </c>
      <c r="G2472" s="6" t="s">
        <v>16</v>
      </c>
      <c r="H2472" s="5">
        <v>4</v>
      </c>
      <c r="I2472" s="6" t="s">
        <v>6627</v>
      </c>
      <c r="J2472" s="5">
        <v>660</v>
      </c>
    </row>
    <row r="2473" s="2" customFormat="1" spans="1:10">
      <c r="A2473" s="6">
        <f>2471</f>
        <v>2471</v>
      </c>
      <c r="B2473" s="6" t="s">
        <v>6628</v>
      </c>
      <c r="C2473" s="6" t="s">
        <v>12</v>
      </c>
      <c r="D2473" s="6" t="s">
        <v>5505</v>
      </c>
      <c r="E2473" s="6" t="s">
        <v>6336</v>
      </c>
      <c r="F2473" s="6" t="s">
        <v>6629</v>
      </c>
      <c r="G2473" s="6" t="s">
        <v>16</v>
      </c>
      <c r="H2473" s="5">
        <v>2</v>
      </c>
      <c r="I2473" s="6" t="s">
        <v>6630</v>
      </c>
      <c r="J2473" s="5">
        <v>720</v>
      </c>
    </row>
    <row r="2474" s="2" customFormat="1" ht="27" spans="1:10">
      <c r="A2474" s="6">
        <f>2472</f>
        <v>2472</v>
      </c>
      <c r="B2474" s="6" t="s">
        <v>6631</v>
      </c>
      <c r="C2474" s="6" t="s">
        <v>12</v>
      </c>
      <c r="D2474" s="6" t="s">
        <v>5505</v>
      </c>
      <c r="E2474" s="6" t="s">
        <v>6336</v>
      </c>
      <c r="F2474" s="6" t="s">
        <v>6632</v>
      </c>
      <c r="G2474" s="6" t="s">
        <v>16</v>
      </c>
      <c r="H2474" s="5">
        <v>4</v>
      </c>
      <c r="I2474" s="6" t="s">
        <v>6633</v>
      </c>
      <c r="J2474" s="5">
        <v>860</v>
      </c>
    </row>
    <row r="2475" s="2" customFormat="1" ht="27" spans="1:10">
      <c r="A2475" s="6">
        <f>2473</f>
        <v>2473</v>
      </c>
      <c r="B2475" s="6" t="s">
        <v>6634</v>
      </c>
      <c r="C2475" s="6" t="s">
        <v>12</v>
      </c>
      <c r="D2475" s="6" t="s">
        <v>5505</v>
      </c>
      <c r="E2475" s="6" t="s">
        <v>6336</v>
      </c>
      <c r="F2475" s="6" t="s">
        <v>6635</v>
      </c>
      <c r="G2475" s="6" t="s">
        <v>16</v>
      </c>
      <c r="H2475" s="5">
        <v>4</v>
      </c>
      <c r="I2475" s="6" t="s">
        <v>6636</v>
      </c>
      <c r="J2475" s="5">
        <v>992</v>
      </c>
    </row>
    <row r="2476" s="2" customFormat="1" ht="27" spans="1:10">
      <c r="A2476" s="6">
        <f>2474</f>
        <v>2474</v>
      </c>
      <c r="B2476" s="6" t="s">
        <v>6637</v>
      </c>
      <c r="C2476" s="6" t="s">
        <v>12</v>
      </c>
      <c r="D2476" s="6" t="s">
        <v>5505</v>
      </c>
      <c r="E2476" s="6" t="s">
        <v>6336</v>
      </c>
      <c r="F2476" s="6" t="s">
        <v>6638</v>
      </c>
      <c r="G2476" s="6" t="s">
        <v>16</v>
      </c>
      <c r="H2476" s="5">
        <v>4</v>
      </c>
      <c r="I2476" s="6" t="s">
        <v>6639</v>
      </c>
      <c r="J2476" s="5">
        <v>840</v>
      </c>
    </row>
    <row r="2477" s="2" customFormat="1" spans="1:10">
      <c r="A2477" s="6">
        <f>2475</f>
        <v>2475</v>
      </c>
      <c r="B2477" s="6" t="s">
        <v>6640</v>
      </c>
      <c r="C2477" s="6" t="s">
        <v>12</v>
      </c>
      <c r="D2477" s="6" t="s">
        <v>5505</v>
      </c>
      <c r="E2477" s="6" t="s">
        <v>6336</v>
      </c>
      <c r="F2477" s="6" t="s">
        <v>6641</v>
      </c>
      <c r="G2477" s="6" t="s">
        <v>16</v>
      </c>
      <c r="H2477" s="5">
        <v>3</v>
      </c>
      <c r="I2477" s="6" t="s">
        <v>6642</v>
      </c>
      <c r="J2477" s="5">
        <v>811</v>
      </c>
    </row>
    <row r="2478" s="2" customFormat="1" spans="1:10">
      <c r="A2478" s="6">
        <f>2476</f>
        <v>2476</v>
      </c>
      <c r="B2478" s="6" t="s">
        <v>6643</v>
      </c>
      <c r="C2478" s="6" t="s">
        <v>12</v>
      </c>
      <c r="D2478" s="6" t="s">
        <v>5505</v>
      </c>
      <c r="E2478" s="6" t="s">
        <v>6336</v>
      </c>
      <c r="F2478" s="6" t="s">
        <v>6644</v>
      </c>
      <c r="G2478" s="6" t="s">
        <v>16</v>
      </c>
      <c r="H2478" s="5">
        <v>1</v>
      </c>
      <c r="I2478" s="6" t="s">
        <v>6644</v>
      </c>
      <c r="J2478" s="5">
        <v>285</v>
      </c>
    </row>
    <row r="2479" s="2" customFormat="1" spans="1:10">
      <c r="A2479" s="6">
        <f>2477</f>
        <v>2477</v>
      </c>
      <c r="B2479" s="6" t="s">
        <v>6645</v>
      </c>
      <c r="C2479" s="6" t="s">
        <v>12</v>
      </c>
      <c r="D2479" s="6" t="s">
        <v>5505</v>
      </c>
      <c r="E2479" s="6" t="s">
        <v>6336</v>
      </c>
      <c r="F2479" s="6" t="s">
        <v>5390</v>
      </c>
      <c r="G2479" s="6" t="s">
        <v>16</v>
      </c>
      <c r="H2479" s="5">
        <v>1</v>
      </c>
      <c r="I2479" s="6" t="s">
        <v>5390</v>
      </c>
      <c r="J2479" s="5">
        <v>360</v>
      </c>
    </row>
    <row r="2480" s="2" customFormat="1" spans="1:10">
      <c r="A2480" s="6">
        <f>2478</f>
        <v>2478</v>
      </c>
      <c r="B2480" s="6" t="s">
        <v>6646</v>
      </c>
      <c r="C2480" s="6" t="s">
        <v>12</v>
      </c>
      <c r="D2480" s="6" t="s">
        <v>5505</v>
      </c>
      <c r="E2480" s="6" t="s">
        <v>6336</v>
      </c>
      <c r="F2480" s="6" t="s">
        <v>6647</v>
      </c>
      <c r="G2480" s="6" t="s">
        <v>16</v>
      </c>
      <c r="H2480" s="5">
        <v>1</v>
      </c>
      <c r="I2480" s="6" t="s">
        <v>6647</v>
      </c>
      <c r="J2480" s="5">
        <v>363</v>
      </c>
    </row>
    <row r="2481" s="2" customFormat="1" ht="27" spans="1:10">
      <c r="A2481" s="6">
        <f>2479</f>
        <v>2479</v>
      </c>
      <c r="B2481" s="6" t="s">
        <v>6648</v>
      </c>
      <c r="C2481" s="6" t="s">
        <v>12</v>
      </c>
      <c r="D2481" s="6" t="s">
        <v>5505</v>
      </c>
      <c r="E2481" s="6" t="s">
        <v>6336</v>
      </c>
      <c r="F2481" s="6" t="s">
        <v>6649</v>
      </c>
      <c r="G2481" s="6" t="s">
        <v>16</v>
      </c>
      <c r="H2481" s="5">
        <v>5</v>
      </c>
      <c r="I2481" s="6" t="s">
        <v>6650</v>
      </c>
      <c r="J2481" s="5">
        <v>1100</v>
      </c>
    </row>
    <row r="2482" s="2" customFormat="1" ht="27" spans="1:10">
      <c r="A2482" s="6">
        <f>2480</f>
        <v>2480</v>
      </c>
      <c r="B2482" s="6" t="s">
        <v>6651</v>
      </c>
      <c r="C2482" s="6" t="s">
        <v>12</v>
      </c>
      <c r="D2482" s="6" t="s">
        <v>5505</v>
      </c>
      <c r="E2482" s="6" t="s">
        <v>6336</v>
      </c>
      <c r="F2482" s="6" t="s">
        <v>6652</v>
      </c>
      <c r="G2482" s="6" t="s">
        <v>16</v>
      </c>
      <c r="H2482" s="5">
        <v>4</v>
      </c>
      <c r="I2482" s="6" t="s">
        <v>6653</v>
      </c>
      <c r="J2482" s="5">
        <v>871</v>
      </c>
    </row>
    <row r="2483" s="2" customFormat="1" spans="1:10">
      <c r="A2483" s="6">
        <f>2481</f>
        <v>2481</v>
      </c>
      <c r="B2483" s="6" t="s">
        <v>6654</v>
      </c>
      <c r="C2483" s="6" t="s">
        <v>12</v>
      </c>
      <c r="D2483" s="6" t="s">
        <v>5505</v>
      </c>
      <c r="E2483" s="6" t="s">
        <v>6336</v>
      </c>
      <c r="F2483" s="6" t="s">
        <v>6655</v>
      </c>
      <c r="G2483" s="6" t="s">
        <v>16</v>
      </c>
      <c r="H2483" s="5">
        <v>3</v>
      </c>
      <c r="I2483" s="6" t="s">
        <v>6656</v>
      </c>
      <c r="J2483" s="5">
        <v>1120</v>
      </c>
    </row>
    <row r="2484" s="2" customFormat="1" spans="1:10">
      <c r="A2484" s="6">
        <f>2482</f>
        <v>2482</v>
      </c>
      <c r="B2484" s="6" t="s">
        <v>6657</v>
      </c>
      <c r="C2484" s="6" t="s">
        <v>12</v>
      </c>
      <c r="D2484" s="6" t="s">
        <v>5505</v>
      </c>
      <c r="E2484" s="6" t="s">
        <v>6336</v>
      </c>
      <c r="F2484" s="6" t="s">
        <v>6658</v>
      </c>
      <c r="G2484" s="6" t="s">
        <v>16</v>
      </c>
      <c r="H2484" s="5">
        <v>1</v>
      </c>
      <c r="I2484" s="6" t="s">
        <v>6658</v>
      </c>
      <c r="J2484" s="5">
        <v>360</v>
      </c>
    </row>
    <row r="2485" s="2" customFormat="1" spans="1:10">
      <c r="A2485" s="6">
        <f>2483</f>
        <v>2483</v>
      </c>
      <c r="B2485" s="6" t="s">
        <v>6659</v>
      </c>
      <c r="C2485" s="6" t="s">
        <v>12</v>
      </c>
      <c r="D2485" s="6" t="s">
        <v>5505</v>
      </c>
      <c r="E2485" s="6" t="s">
        <v>6336</v>
      </c>
      <c r="F2485" s="6" t="s">
        <v>6660</v>
      </c>
      <c r="G2485" s="6" t="s">
        <v>16</v>
      </c>
      <c r="H2485" s="5">
        <v>1</v>
      </c>
      <c r="I2485" s="6" t="s">
        <v>6660</v>
      </c>
      <c r="J2485" s="5">
        <v>270</v>
      </c>
    </row>
    <row r="2486" s="2" customFormat="1" spans="1:10">
      <c r="A2486" s="6">
        <f>2484</f>
        <v>2484</v>
      </c>
      <c r="B2486" s="6" t="s">
        <v>6661</v>
      </c>
      <c r="C2486" s="6" t="s">
        <v>12</v>
      </c>
      <c r="D2486" s="6" t="s">
        <v>5505</v>
      </c>
      <c r="E2486" s="6" t="s">
        <v>6336</v>
      </c>
      <c r="F2486" s="6" t="s">
        <v>6662</v>
      </c>
      <c r="G2486" s="6" t="s">
        <v>16</v>
      </c>
      <c r="H2486" s="5">
        <v>3</v>
      </c>
      <c r="I2486" s="6" t="s">
        <v>6663</v>
      </c>
      <c r="J2486" s="5">
        <v>952</v>
      </c>
    </row>
    <row r="2487" s="2" customFormat="1" spans="1:10">
      <c r="A2487" s="6">
        <f>2485</f>
        <v>2485</v>
      </c>
      <c r="B2487" s="6" t="s">
        <v>6664</v>
      </c>
      <c r="C2487" s="6" t="s">
        <v>12</v>
      </c>
      <c r="D2487" s="6" t="s">
        <v>5505</v>
      </c>
      <c r="E2487" s="6" t="s">
        <v>6336</v>
      </c>
      <c r="F2487" s="6" t="s">
        <v>6665</v>
      </c>
      <c r="G2487" s="6" t="s">
        <v>16</v>
      </c>
      <c r="H2487" s="5">
        <v>3</v>
      </c>
      <c r="I2487" s="6" t="s">
        <v>6666</v>
      </c>
      <c r="J2487" s="5">
        <v>840</v>
      </c>
    </row>
    <row r="2488" s="2" customFormat="1" spans="1:10">
      <c r="A2488" s="6">
        <f>2486</f>
        <v>2486</v>
      </c>
      <c r="B2488" s="6" t="s">
        <v>6667</v>
      </c>
      <c r="C2488" s="6" t="s">
        <v>12</v>
      </c>
      <c r="D2488" s="6" t="s">
        <v>5505</v>
      </c>
      <c r="E2488" s="6" t="s">
        <v>6336</v>
      </c>
      <c r="F2488" s="6" t="s">
        <v>6668</v>
      </c>
      <c r="G2488" s="6" t="s">
        <v>16</v>
      </c>
      <c r="H2488" s="5">
        <v>1</v>
      </c>
      <c r="I2488" s="6" t="s">
        <v>6668</v>
      </c>
      <c r="J2488" s="5">
        <v>240</v>
      </c>
    </row>
    <row r="2489" s="2" customFormat="1" spans="1:10">
      <c r="A2489" s="6">
        <f>2487</f>
        <v>2487</v>
      </c>
      <c r="B2489" s="6" t="s">
        <v>6669</v>
      </c>
      <c r="C2489" s="6" t="s">
        <v>12</v>
      </c>
      <c r="D2489" s="6" t="s">
        <v>5505</v>
      </c>
      <c r="E2489" s="6" t="s">
        <v>6336</v>
      </c>
      <c r="F2489" s="6" t="s">
        <v>6670</v>
      </c>
      <c r="G2489" s="6" t="s">
        <v>16</v>
      </c>
      <c r="H2489" s="5">
        <v>1</v>
      </c>
      <c r="I2489" s="6" t="s">
        <v>6670</v>
      </c>
      <c r="J2489" s="5">
        <v>459</v>
      </c>
    </row>
    <row r="2490" s="2" customFormat="1" spans="1:10">
      <c r="A2490" s="6">
        <f>2488</f>
        <v>2488</v>
      </c>
      <c r="B2490" s="6" t="s">
        <v>6671</v>
      </c>
      <c r="C2490" s="6" t="s">
        <v>12</v>
      </c>
      <c r="D2490" s="6" t="s">
        <v>5505</v>
      </c>
      <c r="E2490" s="6" t="s">
        <v>6336</v>
      </c>
      <c r="F2490" s="6" t="s">
        <v>6672</v>
      </c>
      <c r="G2490" s="6" t="s">
        <v>16</v>
      </c>
      <c r="H2490" s="5">
        <v>1</v>
      </c>
      <c r="I2490" s="6" t="s">
        <v>6672</v>
      </c>
      <c r="J2490" s="5">
        <v>340</v>
      </c>
    </row>
    <row r="2491" s="2" customFormat="1" ht="27" spans="1:10">
      <c r="A2491" s="6">
        <f>2489</f>
        <v>2489</v>
      </c>
      <c r="B2491" s="6" t="s">
        <v>6673</v>
      </c>
      <c r="C2491" s="6" t="s">
        <v>12</v>
      </c>
      <c r="D2491" s="6" t="s">
        <v>5505</v>
      </c>
      <c r="E2491" s="6" t="s">
        <v>6336</v>
      </c>
      <c r="F2491" s="6" t="s">
        <v>6674</v>
      </c>
      <c r="G2491" s="6" t="s">
        <v>16</v>
      </c>
      <c r="H2491" s="5">
        <v>6</v>
      </c>
      <c r="I2491" s="6" t="s">
        <v>6675</v>
      </c>
      <c r="J2491" s="5">
        <v>1560</v>
      </c>
    </row>
    <row r="2492" s="2" customFormat="1" spans="1:10">
      <c r="A2492" s="6">
        <f>2490</f>
        <v>2490</v>
      </c>
      <c r="B2492" s="6" t="s">
        <v>6676</v>
      </c>
      <c r="C2492" s="6" t="s">
        <v>12</v>
      </c>
      <c r="D2492" s="6" t="s">
        <v>6677</v>
      </c>
      <c r="E2492" s="6" t="s">
        <v>6678</v>
      </c>
      <c r="F2492" s="6" t="s">
        <v>6679</v>
      </c>
      <c r="G2492" s="6" t="s">
        <v>16</v>
      </c>
      <c r="H2492" s="5">
        <v>1</v>
      </c>
      <c r="I2492" s="6" t="s">
        <v>6679</v>
      </c>
      <c r="J2492" s="5">
        <v>540</v>
      </c>
    </row>
    <row r="2493" s="2" customFormat="1" spans="1:10">
      <c r="A2493" s="6">
        <f>2491</f>
        <v>2491</v>
      </c>
      <c r="B2493" s="6" t="s">
        <v>6680</v>
      </c>
      <c r="C2493" s="6" t="s">
        <v>12</v>
      </c>
      <c r="D2493" s="6" t="s">
        <v>6677</v>
      </c>
      <c r="E2493" s="6" t="s">
        <v>6678</v>
      </c>
      <c r="F2493" s="6" t="s">
        <v>6681</v>
      </c>
      <c r="G2493" s="6" t="s">
        <v>16</v>
      </c>
      <c r="H2493" s="5">
        <v>1</v>
      </c>
      <c r="I2493" s="6" t="s">
        <v>6681</v>
      </c>
      <c r="J2493" s="5">
        <v>390</v>
      </c>
    </row>
    <row r="2494" s="2" customFormat="1" spans="1:10">
      <c r="A2494" s="6">
        <f>2492</f>
        <v>2492</v>
      </c>
      <c r="B2494" s="6" t="s">
        <v>6682</v>
      </c>
      <c r="C2494" s="6" t="s">
        <v>12</v>
      </c>
      <c r="D2494" s="6" t="s">
        <v>6677</v>
      </c>
      <c r="E2494" s="6" t="s">
        <v>6678</v>
      </c>
      <c r="F2494" s="6" t="s">
        <v>6683</v>
      </c>
      <c r="G2494" s="6" t="s">
        <v>16</v>
      </c>
      <c r="H2494" s="5">
        <v>2</v>
      </c>
      <c r="I2494" s="6" t="s">
        <v>6684</v>
      </c>
      <c r="J2494" s="5">
        <v>720</v>
      </c>
    </row>
    <row r="2495" s="2" customFormat="1" spans="1:10">
      <c r="A2495" s="6">
        <f>2493</f>
        <v>2493</v>
      </c>
      <c r="B2495" s="6" t="s">
        <v>6685</v>
      </c>
      <c r="C2495" s="6" t="s">
        <v>12</v>
      </c>
      <c r="D2495" s="6" t="s">
        <v>6677</v>
      </c>
      <c r="E2495" s="6" t="s">
        <v>6678</v>
      </c>
      <c r="F2495" s="6" t="s">
        <v>6686</v>
      </c>
      <c r="G2495" s="6" t="s">
        <v>16</v>
      </c>
      <c r="H2495" s="5">
        <v>1</v>
      </c>
      <c r="I2495" s="6" t="s">
        <v>6686</v>
      </c>
      <c r="J2495" s="5">
        <v>272</v>
      </c>
    </row>
    <row r="2496" s="2" customFormat="1" spans="1:10">
      <c r="A2496" s="6">
        <f>2494</f>
        <v>2494</v>
      </c>
      <c r="B2496" s="6" t="s">
        <v>6687</v>
      </c>
      <c r="C2496" s="6" t="s">
        <v>12</v>
      </c>
      <c r="D2496" s="6" t="s">
        <v>6677</v>
      </c>
      <c r="E2496" s="6" t="s">
        <v>6678</v>
      </c>
      <c r="F2496" s="6" t="s">
        <v>6688</v>
      </c>
      <c r="G2496" s="6" t="s">
        <v>16</v>
      </c>
      <c r="H2496" s="5">
        <v>3</v>
      </c>
      <c r="I2496" s="6" t="s">
        <v>6689</v>
      </c>
      <c r="J2496" s="5">
        <v>1620</v>
      </c>
    </row>
    <row r="2497" s="2" customFormat="1" spans="1:10">
      <c r="A2497" s="6">
        <f>2495</f>
        <v>2495</v>
      </c>
      <c r="B2497" s="6" t="s">
        <v>6690</v>
      </c>
      <c r="C2497" s="6" t="s">
        <v>12</v>
      </c>
      <c r="D2497" s="6" t="s">
        <v>6677</v>
      </c>
      <c r="E2497" s="6" t="s">
        <v>6678</v>
      </c>
      <c r="F2497" s="6" t="s">
        <v>6691</v>
      </c>
      <c r="G2497" s="6" t="s">
        <v>16</v>
      </c>
      <c r="H2497" s="5">
        <v>1</v>
      </c>
      <c r="I2497" s="6" t="s">
        <v>6691</v>
      </c>
      <c r="J2497" s="5">
        <v>340</v>
      </c>
    </row>
    <row r="2498" s="2" customFormat="1" spans="1:10">
      <c r="A2498" s="6">
        <f>2496</f>
        <v>2496</v>
      </c>
      <c r="B2498" s="6" t="s">
        <v>6692</v>
      </c>
      <c r="C2498" s="6" t="s">
        <v>12</v>
      </c>
      <c r="D2498" s="6" t="s">
        <v>6677</v>
      </c>
      <c r="E2498" s="6" t="s">
        <v>6678</v>
      </c>
      <c r="F2498" s="6" t="s">
        <v>6693</v>
      </c>
      <c r="G2498" s="6" t="s">
        <v>16</v>
      </c>
      <c r="H2498" s="5">
        <v>2</v>
      </c>
      <c r="I2498" s="6" t="s">
        <v>6694</v>
      </c>
      <c r="J2498" s="5">
        <v>820</v>
      </c>
    </row>
    <row r="2499" s="2" customFormat="1" spans="1:10">
      <c r="A2499" s="6">
        <f>2497</f>
        <v>2497</v>
      </c>
      <c r="B2499" s="6" t="s">
        <v>6695</v>
      </c>
      <c r="C2499" s="6" t="s">
        <v>12</v>
      </c>
      <c r="D2499" s="6" t="s">
        <v>6677</v>
      </c>
      <c r="E2499" s="6" t="s">
        <v>6678</v>
      </c>
      <c r="F2499" s="6" t="s">
        <v>6696</v>
      </c>
      <c r="G2499" s="6" t="s">
        <v>16</v>
      </c>
      <c r="H2499" s="5">
        <v>1</v>
      </c>
      <c r="I2499" s="6" t="s">
        <v>6696</v>
      </c>
      <c r="J2499" s="5">
        <v>350</v>
      </c>
    </row>
    <row r="2500" s="2" customFormat="1" spans="1:10">
      <c r="A2500" s="6">
        <f>2498</f>
        <v>2498</v>
      </c>
      <c r="B2500" s="6" t="s">
        <v>6697</v>
      </c>
      <c r="C2500" s="6" t="s">
        <v>12</v>
      </c>
      <c r="D2500" s="6" t="s">
        <v>6677</v>
      </c>
      <c r="E2500" s="6" t="s">
        <v>6678</v>
      </c>
      <c r="F2500" s="6" t="s">
        <v>6698</v>
      </c>
      <c r="G2500" s="6" t="s">
        <v>16</v>
      </c>
      <c r="H2500" s="5">
        <v>2</v>
      </c>
      <c r="I2500" s="6" t="s">
        <v>6699</v>
      </c>
      <c r="J2500" s="5">
        <v>474</v>
      </c>
    </row>
    <row r="2501" s="2" customFormat="1" spans="1:10">
      <c r="A2501" s="6">
        <f>2499</f>
        <v>2499</v>
      </c>
      <c r="B2501" s="6" t="s">
        <v>6700</v>
      </c>
      <c r="C2501" s="6" t="s">
        <v>12</v>
      </c>
      <c r="D2501" s="6" t="s">
        <v>6677</v>
      </c>
      <c r="E2501" s="6" t="s">
        <v>6678</v>
      </c>
      <c r="F2501" s="6" t="s">
        <v>6701</v>
      </c>
      <c r="G2501" s="6" t="s">
        <v>16</v>
      </c>
      <c r="H2501" s="5">
        <v>2</v>
      </c>
      <c r="I2501" s="6" t="s">
        <v>6702</v>
      </c>
      <c r="J2501" s="5">
        <v>480</v>
      </c>
    </row>
    <row r="2502" s="2" customFormat="1" spans="1:10">
      <c r="A2502" s="6">
        <f>2500</f>
        <v>2500</v>
      </c>
      <c r="B2502" s="6" t="s">
        <v>6703</v>
      </c>
      <c r="C2502" s="6" t="s">
        <v>12</v>
      </c>
      <c r="D2502" s="6" t="s">
        <v>6677</v>
      </c>
      <c r="E2502" s="6" t="s">
        <v>6678</v>
      </c>
      <c r="F2502" s="6" t="s">
        <v>6704</v>
      </c>
      <c r="G2502" s="6" t="s">
        <v>16</v>
      </c>
      <c r="H2502" s="5">
        <v>2</v>
      </c>
      <c r="I2502" s="6" t="s">
        <v>6705</v>
      </c>
      <c r="J2502" s="5">
        <v>680</v>
      </c>
    </row>
    <row r="2503" s="2" customFormat="1" spans="1:10">
      <c r="A2503" s="6">
        <f>2501</f>
        <v>2501</v>
      </c>
      <c r="B2503" s="6" t="s">
        <v>6706</v>
      </c>
      <c r="C2503" s="6" t="s">
        <v>12</v>
      </c>
      <c r="D2503" s="6" t="s">
        <v>6677</v>
      </c>
      <c r="E2503" s="6" t="s">
        <v>6678</v>
      </c>
      <c r="F2503" s="6" t="s">
        <v>6707</v>
      </c>
      <c r="G2503" s="6" t="s">
        <v>16</v>
      </c>
      <c r="H2503" s="5">
        <v>1</v>
      </c>
      <c r="I2503" s="6" t="s">
        <v>6707</v>
      </c>
      <c r="J2503" s="5">
        <v>260</v>
      </c>
    </row>
    <row r="2504" s="2" customFormat="1" spans="1:10">
      <c r="A2504" s="6">
        <f>2502</f>
        <v>2502</v>
      </c>
      <c r="B2504" s="6" t="s">
        <v>6708</v>
      </c>
      <c r="C2504" s="6" t="s">
        <v>12</v>
      </c>
      <c r="D2504" s="6" t="s">
        <v>6677</v>
      </c>
      <c r="E2504" s="6" t="s">
        <v>6678</v>
      </c>
      <c r="F2504" s="6" t="s">
        <v>6709</v>
      </c>
      <c r="G2504" s="6" t="s">
        <v>16</v>
      </c>
      <c r="H2504" s="5">
        <v>1</v>
      </c>
      <c r="I2504" s="6" t="s">
        <v>6709</v>
      </c>
      <c r="J2504" s="5">
        <v>440</v>
      </c>
    </row>
    <row r="2505" s="2" customFormat="1" spans="1:10">
      <c r="A2505" s="6">
        <f>2503</f>
        <v>2503</v>
      </c>
      <c r="B2505" s="6" t="s">
        <v>6710</v>
      </c>
      <c r="C2505" s="6" t="s">
        <v>12</v>
      </c>
      <c r="D2505" s="6" t="s">
        <v>6677</v>
      </c>
      <c r="E2505" s="6" t="s">
        <v>6678</v>
      </c>
      <c r="F2505" s="6" t="s">
        <v>6711</v>
      </c>
      <c r="G2505" s="6" t="s">
        <v>16</v>
      </c>
      <c r="H2505" s="5">
        <v>1</v>
      </c>
      <c r="I2505" s="6" t="s">
        <v>6711</v>
      </c>
      <c r="J2505" s="5">
        <v>540</v>
      </c>
    </row>
    <row r="2506" s="2" customFormat="1" spans="1:10">
      <c r="A2506" s="6">
        <f>2504</f>
        <v>2504</v>
      </c>
      <c r="B2506" s="6" t="s">
        <v>6712</v>
      </c>
      <c r="C2506" s="6" t="s">
        <v>12</v>
      </c>
      <c r="D2506" s="6" t="s">
        <v>6677</v>
      </c>
      <c r="E2506" s="6" t="s">
        <v>6678</v>
      </c>
      <c r="F2506" s="6" t="s">
        <v>6713</v>
      </c>
      <c r="G2506" s="6" t="s">
        <v>16</v>
      </c>
      <c r="H2506" s="5">
        <v>1</v>
      </c>
      <c r="I2506" s="6" t="s">
        <v>6713</v>
      </c>
      <c r="J2506" s="5">
        <v>360</v>
      </c>
    </row>
    <row r="2507" s="2" customFormat="1" spans="1:10">
      <c r="A2507" s="6">
        <f>2505</f>
        <v>2505</v>
      </c>
      <c r="B2507" s="6" t="s">
        <v>6714</v>
      </c>
      <c r="C2507" s="6" t="s">
        <v>12</v>
      </c>
      <c r="D2507" s="6" t="s">
        <v>6677</v>
      </c>
      <c r="E2507" s="6" t="s">
        <v>6678</v>
      </c>
      <c r="F2507" s="6" t="s">
        <v>6715</v>
      </c>
      <c r="G2507" s="6" t="s">
        <v>16</v>
      </c>
      <c r="H2507" s="5">
        <v>3</v>
      </c>
      <c r="I2507" s="6" t="s">
        <v>6716</v>
      </c>
      <c r="J2507" s="5">
        <v>930</v>
      </c>
    </row>
    <row r="2508" s="2" customFormat="1" spans="1:10">
      <c r="A2508" s="6">
        <f>2506</f>
        <v>2506</v>
      </c>
      <c r="B2508" s="6" t="s">
        <v>6717</v>
      </c>
      <c r="C2508" s="6" t="s">
        <v>12</v>
      </c>
      <c r="D2508" s="6" t="s">
        <v>6677</v>
      </c>
      <c r="E2508" s="6" t="s">
        <v>6678</v>
      </c>
      <c r="F2508" s="6" t="s">
        <v>6718</v>
      </c>
      <c r="G2508" s="6" t="s">
        <v>16</v>
      </c>
      <c r="H2508" s="5">
        <v>1</v>
      </c>
      <c r="I2508" s="6" t="s">
        <v>6718</v>
      </c>
      <c r="J2508" s="5">
        <v>273</v>
      </c>
    </row>
    <row r="2509" s="2" customFormat="1" spans="1:10">
      <c r="A2509" s="6">
        <f>2507</f>
        <v>2507</v>
      </c>
      <c r="B2509" s="6" t="s">
        <v>6719</v>
      </c>
      <c r="C2509" s="6" t="s">
        <v>12</v>
      </c>
      <c r="D2509" s="6" t="s">
        <v>6677</v>
      </c>
      <c r="E2509" s="6" t="s">
        <v>6678</v>
      </c>
      <c r="F2509" s="6" t="s">
        <v>6720</v>
      </c>
      <c r="G2509" s="6" t="s">
        <v>16</v>
      </c>
      <c r="H2509" s="5">
        <v>1</v>
      </c>
      <c r="I2509" s="6" t="s">
        <v>6720</v>
      </c>
      <c r="J2509" s="5">
        <v>540</v>
      </c>
    </row>
    <row r="2510" s="2" customFormat="1" spans="1:10">
      <c r="A2510" s="6">
        <f>2508</f>
        <v>2508</v>
      </c>
      <c r="B2510" s="6" t="s">
        <v>6721</v>
      </c>
      <c r="C2510" s="6" t="s">
        <v>12</v>
      </c>
      <c r="D2510" s="6" t="s">
        <v>6677</v>
      </c>
      <c r="E2510" s="6" t="s">
        <v>6678</v>
      </c>
      <c r="F2510" s="6" t="s">
        <v>6722</v>
      </c>
      <c r="G2510" s="6" t="s">
        <v>16</v>
      </c>
      <c r="H2510" s="5">
        <v>2</v>
      </c>
      <c r="I2510" s="6" t="s">
        <v>6723</v>
      </c>
      <c r="J2510" s="5">
        <v>720</v>
      </c>
    </row>
    <row r="2511" s="2" customFormat="1" spans="1:10">
      <c r="A2511" s="6">
        <f>2509</f>
        <v>2509</v>
      </c>
      <c r="B2511" s="6" t="s">
        <v>6724</v>
      </c>
      <c r="C2511" s="6" t="s">
        <v>12</v>
      </c>
      <c r="D2511" s="6" t="s">
        <v>6677</v>
      </c>
      <c r="E2511" s="6" t="s">
        <v>6678</v>
      </c>
      <c r="F2511" s="6" t="s">
        <v>6725</v>
      </c>
      <c r="G2511" s="6" t="s">
        <v>16</v>
      </c>
      <c r="H2511" s="5">
        <v>2</v>
      </c>
      <c r="I2511" s="6" t="s">
        <v>6726</v>
      </c>
      <c r="J2511" s="5">
        <v>796</v>
      </c>
    </row>
    <row r="2512" s="2" customFormat="1" spans="1:10">
      <c r="A2512" s="6">
        <f>2510</f>
        <v>2510</v>
      </c>
      <c r="B2512" s="6" t="s">
        <v>6727</v>
      </c>
      <c r="C2512" s="6" t="s">
        <v>12</v>
      </c>
      <c r="D2512" s="6" t="s">
        <v>6677</v>
      </c>
      <c r="E2512" s="6" t="s">
        <v>6678</v>
      </c>
      <c r="F2512" s="6" t="s">
        <v>6728</v>
      </c>
      <c r="G2512" s="6" t="s">
        <v>16</v>
      </c>
      <c r="H2512" s="5">
        <v>2</v>
      </c>
      <c r="I2512" s="6" t="s">
        <v>6729</v>
      </c>
      <c r="J2512" s="5">
        <v>600</v>
      </c>
    </row>
    <row r="2513" s="2" customFormat="1" spans="1:10">
      <c r="A2513" s="6">
        <f>2511</f>
        <v>2511</v>
      </c>
      <c r="B2513" s="6" t="s">
        <v>6730</v>
      </c>
      <c r="C2513" s="6" t="s">
        <v>12</v>
      </c>
      <c r="D2513" s="6" t="s">
        <v>6677</v>
      </c>
      <c r="E2513" s="6" t="s">
        <v>6678</v>
      </c>
      <c r="F2513" s="6" t="s">
        <v>6731</v>
      </c>
      <c r="G2513" s="6" t="s">
        <v>16</v>
      </c>
      <c r="H2513" s="5">
        <v>2</v>
      </c>
      <c r="I2513" s="6" t="s">
        <v>6732</v>
      </c>
      <c r="J2513" s="5">
        <v>540</v>
      </c>
    </row>
    <row r="2514" s="2" customFormat="1" spans="1:10">
      <c r="A2514" s="6">
        <f>2512</f>
        <v>2512</v>
      </c>
      <c r="B2514" s="6" t="s">
        <v>6733</v>
      </c>
      <c r="C2514" s="6" t="s">
        <v>12</v>
      </c>
      <c r="D2514" s="6" t="s">
        <v>6677</v>
      </c>
      <c r="E2514" s="6" t="s">
        <v>6678</v>
      </c>
      <c r="F2514" s="6" t="s">
        <v>6734</v>
      </c>
      <c r="G2514" s="6" t="s">
        <v>16</v>
      </c>
      <c r="H2514" s="5">
        <v>1</v>
      </c>
      <c r="I2514" s="6" t="s">
        <v>6734</v>
      </c>
      <c r="J2514" s="5">
        <v>325</v>
      </c>
    </row>
    <row r="2515" s="2" customFormat="1" spans="1:10">
      <c r="A2515" s="6">
        <f>2513</f>
        <v>2513</v>
      </c>
      <c r="B2515" s="6" t="s">
        <v>6735</v>
      </c>
      <c r="C2515" s="6" t="s">
        <v>12</v>
      </c>
      <c r="D2515" s="6" t="s">
        <v>6677</v>
      </c>
      <c r="E2515" s="6" t="s">
        <v>6678</v>
      </c>
      <c r="F2515" s="6" t="s">
        <v>6736</v>
      </c>
      <c r="G2515" s="6" t="s">
        <v>16</v>
      </c>
      <c r="H2515" s="5">
        <v>3</v>
      </c>
      <c r="I2515" s="6" t="s">
        <v>6737</v>
      </c>
      <c r="J2515" s="5">
        <v>680</v>
      </c>
    </row>
    <row r="2516" s="2" customFormat="1" spans="1:10">
      <c r="A2516" s="6">
        <f>2514</f>
        <v>2514</v>
      </c>
      <c r="B2516" s="6" t="s">
        <v>6738</v>
      </c>
      <c r="C2516" s="6" t="s">
        <v>12</v>
      </c>
      <c r="D2516" s="6" t="s">
        <v>6677</v>
      </c>
      <c r="E2516" s="6" t="s">
        <v>6678</v>
      </c>
      <c r="F2516" s="6" t="s">
        <v>6739</v>
      </c>
      <c r="G2516" s="6" t="s">
        <v>16</v>
      </c>
      <c r="H2516" s="5">
        <v>1</v>
      </c>
      <c r="I2516" s="6" t="s">
        <v>6739</v>
      </c>
      <c r="J2516" s="5">
        <v>300</v>
      </c>
    </row>
    <row r="2517" s="2" customFormat="1" spans="1:10">
      <c r="A2517" s="6">
        <f>2515</f>
        <v>2515</v>
      </c>
      <c r="B2517" s="6" t="s">
        <v>6740</v>
      </c>
      <c r="C2517" s="6" t="s">
        <v>12</v>
      </c>
      <c r="D2517" s="6" t="s">
        <v>6677</v>
      </c>
      <c r="E2517" s="6" t="s">
        <v>6678</v>
      </c>
      <c r="F2517" s="6" t="s">
        <v>6741</v>
      </c>
      <c r="G2517" s="6" t="s">
        <v>16</v>
      </c>
      <c r="H2517" s="5">
        <v>3</v>
      </c>
      <c r="I2517" s="6" t="s">
        <v>6742</v>
      </c>
      <c r="J2517" s="5">
        <v>743</v>
      </c>
    </row>
    <row r="2518" s="2" customFormat="1" spans="1:10">
      <c r="A2518" s="6">
        <f>2516</f>
        <v>2516</v>
      </c>
      <c r="B2518" s="6" t="s">
        <v>6743</v>
      </c>
      <c r="C2518" s="6" t="s">
        <v>12</v>
      </c>
      <c r="D2518" s="6" t="s">
        <v>6677</v>
      </c>
      <c r="E2518" s="6" t="s">
        <v>6678</v>
      </c>
      <c r="F2518" s="6" t="s">
        <v>6744</v>
      </c>
      <c r="G2518" s="6" t="s">
        <v>16</v>
      </c>
      <c r="H2518" s="5">
        <v>1</v>
      </c>
      <c r="I2518" s="6" t="s">
        <v>6744</v>
      </c>
      <c r="J2518" s="5">
        <v>340</v>
      </c>
    </row>
    <row r="2519" s="2" customFormat="1" spans="1:10">
      <c r="A2519" s="6">
        <f>2517</f>
        <v>2517</v>
      </c>
      <c r="B2519" s="6" t="s">
        <v>6745</v>
      </c>
      <c r="C2519" s="6" t="s">
        <v>12</v>
      </c>
      <c r="D2519" s="6" t="s">
        <v>6677</v>
      </c>
      <c r="E2519" s="6" t="s">
        <v>6678</v>
      </c>
      <c r="F2519" s="6" t="s">
        <v>6746</v>
      </c>
      <c r="G2519" s="6" t="s">
        <v>16</v>
      </c>
      <c r="H2519" s="5">
        <v>1</v>
      </c>
      <c r="I2519" s="6" t="s">
        <v>6746</v>
      </c>
      <c r="J2519" s="5">
        <v>301</v>
      </c>
    </row>
    <row r="2520" s="2" customFormat="1" spans="1:10">
      <c r="A2520" s="6">
        <f>2518</f>
        <v>2518</v>
      </c>
      <c r="B2520" s="6" t="s">
        <v>6747</v>
      </c>
      <c r="C2520" s="6" t="s">
        <v>12</v>
      </c>
      <c r="D2520" s="6" t="s">
        <v>6677</v>
      </c>
      <c r="E2520" s="6" t="s">
        <v>6678</v>
      </c>
      <c r="F2520" s="6" t="s">
        <v>6748</v>
      </c>
      <c r="G2520" s="6" t="s">
        <v>16</v>
      </c>
      <c r="H2520" s="5">
        <v>2</v>
      </c>
      <c r="I2520" s="6" t="s">
        <v>6749</v>
      </c>
      <c r="J2520" s="5">
        <v>466</v>
      </c>
    </row>
    <row r="2521" s="2" customFormat="1" spans="1:10">
      <c r="A2521" s="6">
        <f>2519</f>
        <v>2519</v>
      </c>
      <c r="B2521" s="6" t="s">
        <v>6750</v>
      </c>
      <c r="C2521" s="6" t="s">
        <v>12</v>
      </c>
      <c r="D2521" s="6" t="s">
        <v>6677</v>
      </c>
      <c r="E2521" s="6" t="s">
        <v>6678</v>
      </c>
      <c r="F2521" s="6" t="s">
        <v>6751</v>
      </c>
      <c r="G2521" s="6" t="s">
        <v>16</v>
      </c>
      <c r="H2521" s="5">
        <v>2</v>
      </c>
      <c r="I2521" s="6" t="s">
        <v>6752</v>
      </c>
      <c r="J2521" s="5">
        <v>620</v>
      </c>
    </row>
    <row r="2522" s="2" customFormat="1" spans="1:10">
      <c r="A2522" s="6">
        <f>2520</f>
        <v>2520</v>
      </c>
      <c r="B2522" s="6" t="s">
        <v>6753</v>
      </c>
      <c r="C2522" s="6" t="s">
        <v>12</v>
      </c>
      <c r="D2522" s="6" t="s">
        <v>6677</v>
      </c>
      <c r="E2522" s="6" t="s">
        <v>6678</v>
      </c>
      <c r="F2522" s="6" t="s">
        <v>6754</v>
      </c>
      <c r="G2522" s="6" t="s">
        <v>16</v>
      </c>
      <c r="H2522" s="5">
        <v>1</v>
      </c>
      <c r="I2522" s="6" t="s">
        <v>6754</v>
      </c>
      <c r="J2522" s="5">
        <v>317</v>
      </c>
    </row>
    <row r="2523" s="2" customFormat="1" spans="1:10">
      <c r="A2523" s="6">
        <f>2521</f>
        <v>2521</v>
      </c>
      <c r="B2523" s="6" t="s">
        <v>6755</v>
      </c>
      <c r="C2523" s="6" t="s">
        <v>12</v>
      </c>
      <c r="D2523" s="6" t="s">
        <v>6677</v>
      </c>
      <c r="E2523" s="6" t="s">
        <v>6678</v>
      </c>
      <c r="F2523" s="6" t="s">
        <v>6756</v>
      </c>
      <c r="G2523" s="6" t="s">
        <v>16</v>
      </c>
      <c r="H2523" s="5">
        <v>2</v>
      </c>
      <c r="I2523" s="6" t="s">
        <v>6757</v>
      </c>
      <c r="J2523" s="5">
        <v>422</v>
      </c>
    </row>
    <row r="2524" s="2" customFormat="1" spans="1:10">
      <c r="A2524" s="6">
        <f>2522</f>
        <v>2522</v>
      </c>
      <c r="B2524" s="6" t="s">
        <v>6758</v>
      </c>
      <c r="C2524" s="6" t="s">
        <v>12</v>
      </c>
      <c r="D2524" s="6" t="s">
        <v>6677</v>
      </c>
      <c r="E2524" s="6" t="s">
        <v>6678</v>
      </c>
      <c r="F2524" s="6" t="s">
        <v>6759</v>
      </c>
      <c r="G2524" s="6" t="s">
        <v>16</v>
      </c>
      <c r="H2524" s="5">
        <v>1</v>
      </c>
      <c r="I2524" s="6" t="s">
        <v>6759</v>
      </c>
      <c r="J2524" s="5">
        <v>340</v>
      </c>
    </row>
    <row r="2525" s="2" customFormat="1" spans="1:10">
      <c r="A2525" s="6">
        <f>2523</f>
        <v>2523</v>
      </c>
      <c r="B2525" s="6" t="s">
        <v>6760</v>
      </c>
      <c r="C2525" s="6" t="s">
        <v>12</v>
      </c>
      <c r="D2525" s="6" t="s">
        <v>6677</v>
      </c>
      <c r="E2525" s="6" t="s">
        <v>6678</v>
      </c>
      <c r="F2525" s="6" t="s">
        <v>6761</v>
      </c>
      <c r="G2525" s="6" t="s">
        <v>16</v>
      </c>
      <c r="H2525" s="5">
        <v>1</v>
      </c>
      <c r="I2525" s="6" t="s">
        <v>6761</v>
      </c>
      <c r="J2525" s="5">
        <v>340</v>
      </c>
    </row>
    <row r="2526" s="2" customFormat="1" spans="1:10">
      <c r="A2526" s="6">
        <f>2524</f>
        <v>2524</v>
      </c>
      <c r="B2526" s="6" t="s">
        <v>6762</v>
      </c>
      <c r="C2526" s="6" t="s">
        <v>12</v>
      </c>
      <c r="D2526" s="6" t="s">
        <v>6677</v>
      </c>
      <c r="E2526" s="6" t="s">
        <v>6678</v>
      </c>
      <c r="F2526" s="6" t="s">
        <v>6763</v>
      </c>
      <c r="G2526" s="6" t="s">
        <v>16</v>
      </c>
      <c r="H2526" s="5">
        <v>3</v>
      </c>
      <c r="I2526" s="6" t="s">
        <v>6764</v>
      </c>
      <c r="J2526" s="5">
        <v>1320</v>
      </c>
    </row>
    <row r="2527" s="2" customFormat="1" ht="27" spans="1:10">
      <c r="A2527" s="6">
        <f>2525</f>
        <v>2525</v>
      </c>
      <c r="B2527" s="6" t="s">
        <v>6765</v>
      </c>
      <c r="C2527" s="6" t="s">
        <v>12</v>
      </c>
      <c r="D2527" s="6" t="s">
        <v>6677</v>
      </c>
      <c r="E2527" s="6" t="s">
        <v>6678</v>
      </c>
      <c r="F2527" s="6" t="s">
        <v>6766</v>
      </c>
      <c r="G2527" s="6" t="s">
        <v>16</v>
      </c>
      <c r="H2527" s="5">
        <v>5</v>
      </c>
      <c r="I2527" s="6" t="s">
        <v>6767</v>
      </c>
      <c r="J2527" s="5">
        <v>900</v>
      </c>
    </row>
    <row r="2528" s="2" customFormat="1" spans="1:10">
      <c r="A2528" s="6">
        <f>2526</f>
        <v>2526</v>
      </c>
      <c r="B2528" s="6" t="s">
        <v>6768</v>
      </c>
      <c r="C2528" s="6" t="s">
        <v>12</v>
      </c>
      <c r="D2528" s="6" t="s">
        <v>6677</v>
      </c>
      <c r="E2528" s="6" t="s">
        <v>6678</v>
      </c>
      <c r="F2528" s="6" t="s">
        <v>6769</v>
      </c>
      <c r="G2528" s="6" t="s">
        <v>16</v>
      </c>
      <c r="H2528" s="5">
        <v>2</v>
      </c>
      <c r="I2528" s="6" t="s">
        <v>6770</v>
      </c>
      <c r="J2528" s="5">
        <v>630</v>
      </c>
    </row>
    <row r="2529" s="2" customFormat="1" ht="27" spans="1:10">
      <c r="A2529" s="6">
        <f>2527</f>
        <v>2527</v>
      </c>
      <c r="B2529" s="6" t="s">
        <v>6771</v>
      </c>
      <c r="C2529" s="6" t="s">
        <v>12</v>
      </c>
      <c r="D2529" s="6" t="s">
        <v>6677</v>
      </c>
      <c r="E2529" s="6" t="s">
        <v>6678</v>
      </c>
      <c r="F2529" s="6" t="s">
        <v>6772</v>
      </c>
      <c r="G2529" s="6" t="s">
        <v>16</v>
      </c>
      <c r="H2529" s="5">
        <v>5</v>
      </c>
      <c r="I2529" s="6" t="s">
        <v>6773</v>
      </c>
      <c r="J2529" s="5">
        <v>975</v>
      </c>
    </row>
    <row r="2530" s="2" customFormat="1" spans="1:10">
      <c r="A2530" s="6">
        <f>2528</f>
        <v>2528</v>
      </c>
      <c r="B2530" s="6" t="s">
        <v>6774</v>
      </c>
      <c r="C2530" s="6" t="s">
        <v>12</v>
      </c>
      <c r="D2530" s="6" t="s">
        <v>6677</v>
      </c>
      <c r="E2530" s="6" t="s">
        <v>6678</v>
      </c>
      <c r="F2530" s="6" t="s">
        <v>6775</v>
      </c>
      <c r="G2530" s="6" t="s">
        <v>16</v>
      </c>
      <c r="H2530" s="5">
        <v>1</v>
      </c>
      <c r="I2530" s="6" t="s">
        <v>6775</v>
      </c>
      <c r="J2530" s="5">
        <v>243</v>
      </c>
    </row>
    <row r="2531" s="2" customFormat="1" spans="1:10">
      <c r="A2531" s="6">
        <f>2529</f>
        <v>2529</v>
      </c>
      <c r="B2531" s="6" t="s">
        <v>6776</v>
      </c>
      <c r="C2531" s="6" t="s">
        <v>12</v>
      </c>
      <c r="D2531" s="6" t="s">
        <v>6677</v>
      </c>
      <c r="E2531" s="6" t="s">
        <v>6678</v>
      </c>
      <c r="F2531" s="6" t="s">
        <v>6777</v>
      </c>
      <c r="G2531" s="6" t="s">
        <v>16</v>
      </c>
      <c r="H2531" s="5">
        <v>1</v>
      </c>
      <c r="I2531" s="6" t="s">
        <v>6777</v>
      </c>
      <c r="J2531" s="5">
        <v>243</v>
      </c>
    </row>
    <row r="2532" s="2" customFormat="1" spans="1:10">
      <c r="A2532" s="6">
        <f>2530</f>
        <v>2530</v>
      </c>
      <c r="B2532" s="6" t="s">
        <v>6778</v>
      </c>
      <c r="C2532" s="6" t="s">
        <v>12</v>
      </c>
      <c r="D2532" s="6" t="s">
        <v>6677</v>
      </c>
      <c r="E2532" s="6" t="s">
        <v>6678</v>
      </c>
      <c r="F2532" s="6" t="s">
        <v>6779</v>
      </c>
      <c r="G2532" s="6" t="s">
        <v>16</v>
      </c>
      <c r="H2532" s="5">
        <v>1</v>
      </c>
      <c r="I2532" s="6" t="s">
        <v>6779</v>
      </c>
      <c r="J2532" s="5">
        <v>351</v>
      </c>
    </row>
    <row r="2533" s="2" customFormat="1" spans="1:10">
      <c r="A2533" s="6">
        <f>2531</f>
        <v>2531</v>
      </c>
      <c r="B2533" s="6" t="s">
        <v>6780</v>
      </c>
      <c r="C2533" s="6" t="s">
        <v>12</v>
      </c>
      <c r="D2533" s="6" t="s">
        <v>6677</v>
      </c>
      <c r="E2533" s="6" t="s">
        <v>6678</v>
      </c>
      <c r="F2533" s="6" t="s">
        <v>6781</v>
      </c>
      <c r="G2533" s="6" t="s">
        <v>16</v>
      </c>
      <c r="H2533" s="5">
        <v>1</v>
      </c>
      <c r="I2533" s="6" t="s">
        <v>6781</v>
      </c>
      <c r="J2533" s="5">
        <v>243</v>
      </c>
    </row>
    <row r="2534" s="2" customFormat="1" spans="1:10">
      <c r="A2534" s="6">
        <f>2532</f>
        <v>2532</v>
      </c>
      <c r="B2534" s="6" t="s">
        <v>6782</v>
      </c>
      <c r="C2534" s="6" t="s">
        <v>12</v>
      </c>
      <c r="D2534" s="6" t="s">
        <v>6677</v>
      </c>
      <c r="E2534" s="6" t="s">
        <v>6678</v>
      </c>
      <c r="F2534" s="6" t="s">
        <v>6783</v>
      </c>
      <c r="G2534" s="6" t="s">
        <v>16</v>
      </c>
      <c r="H2534" s="5">
        <v>1</v>
      </c>
      <c r="I2534" s="6" t="s">
        <v>6783</v>
      </c>
      <c r="J2534" s="5">
        <v>240</v>
      </c>
    </row>
    <row r="2535" s="2" customFormat="1" ht="27" spans="1:10">
      <c r="A2535" s="6">
        <f>2533</f>
        <v>2533</v>
      </c>
      <c r="B2535" s="6" t="s">
        <v>6784</v>
      </c>
      <c r="C2535" s="6" t="s">
        <v>12</v>
      </c>
      <c r="D2535" s="6" t="s">
        <v>6677</v>
      </c>
      <c r="E2535" s="6" t="s">
        <v>6678</v>
      </c>
      <c r="F2535" s="6" t="s">
        <v>6785</v>
      </c>
      <c r="G2535" s="6" t="s">
        <v>16</v>
      </c>
      <c r="H2535" s="5">
        <v>5</v>
      </c>
      <c r="I2535" s="6" t="s">
        <v>6786</v>
      </c>
      <c r="J2535" s="5">
        <v>925</v>
      </c>
    </row>
    <row r="2536" s="2" customFormat="1" spans="1:10">
      <c r="A2536" s="6">
        <f>2534</f>
        <v>2534</v>
      </c>
      <c r="B2536" s="6" t="s">
        <v>6787</v>
      </c>
      <c r="C2536" s="6" t="s">
        <v>12</v>
      </c>
      <c r="D2536" s="6" t="s">
        <v>6677</v>
      </c>
      <c r="E2536" s="6" t="s">
        <v>6678</v>
      </c>
      <c r="F2536" s="6" t="s">
        <v>6788</v>
      </c>
      <c r="G2536" s="6" t="s">
        <v>16</v>
      </c>
      <c r="H2536" s="5">
        <v>2</v>
      </c>
      <c r="I2536" s="6" t="s">
        <v>6789</v>
      </c>
      <c r="J2536" s="5">
        <v>600</v>
      </c>
    </row>
    <row r="2537" s="2" customFormat="1" ht="27" spans="1:10">
      <c r="A2537" s="6">
        <f>2535</f>
        <v>2535</v>
      </c>
      <c r="B2537" s="6" t="s">
        <v>6790</v>
      </c>
      <c r="C2537" s="6" t="s">
        <v>12</v>
      </c>
      <c r="D2537" s="6" t="s">
        <v>6677</v>
      </c>
      <c r="E2537" s="6" t="s">
        <v>6678</v>
      </c>
      <c r="F2537" s="6" t="s">
        <v>6791</v>
      </c>
      <c r="G2537" s="6" t="s">
        <v>16</v>
      </c>
      <c r="H2537" s="5">
        <v>4</v>
      </c>
      <c r="I2537" s="6" t="s">
        <v>6792</v>
      </c>
      <c r="J2537" s="5">
        <v>640</v>
      </c>
    </row>
    <row r="2538" s="2" customFormat="1" spans="1:10">
      <c r="A2538" s="6">
        <f>2536</f>
        <v>2536</v>
      </c>
      <c r="B2538" s="6" t="s">
        <v>6793</v>
      </c>
      <c r="C2538" s="6" t="s">
        <v>12</v>
      </c>
      <c r="D2538" s="6" t="s">
        <v>6677</v>
      </c>
      <c r="E2538" s="6" t="s">
        <v>6678</v>
      </c>
      <c r="F2538" s="6" t="s">
        <v>6794</v>
      </c>
      <c r="G2538" s="6" t="s">
        <v>16</v>
      </c>
      <c r="H2538" s="5">
        <v>2</v>
      </c>
      <c r="I2538" s="6" t="s">
        <v>6795</v>
      </c>
      <c r="J2538" s="5">
        <v>520</v>
      </c>
    </row>
    <row r="2539" s="2" customFormat="1" spans="1:10">
      <c r="A2539" s="6">
        <f>2537</f>
        <v>2537</v>
      </c>
      <c r="B2539" s="6" t="s">
        <v>6796</v>
      </c>
      <c r="C2539" s="6" t="s">
        <v>12</v>
      </c>
      <c r="D2539" s="6" t="s">
        <v>6677</v>
      </c>
      <c r="E2539" s="6" t="s">
        <v>6678</v>
      </c>
      <c r="F2539" s="6" t="s">
        <v>6797</v>
      </c>
      <c r="G2539" s="6" t="s">
        <v>16</v>
      </c>
      <c r="H2539" s="5">
        <v>2</v>
      </c>
      <c r="I2539" s="6" t="s">
        <v>6798</v>
      </c>
      <c r="J2539" s="5">
        <v>380</v>
      </c>
    </row>
    <row r="2540" s="2" customFormat="1" spans="1:10">
      <c r="A2540" s="6">
        <f>2538</f>
        <v>2538</v>
      </c>
      <c r="B2540" s="6" t="s">
        <v>6799</v>
      </c>
      <c r="C2540" s="6" t="s">
        <v>12</v>
      </c>
      <c r="D2540" s="6" t="s">
        <v>6677</v>
      </c>
      <c r="E2540" s="6" t="s">
        <v>6678</v>
      </c>
      <c r="F2540" s="6" t="s">
        <v>6800</v>
      </c>
      <c r="G2540" s="6" t="s">
        <v>16</v>
      </c>
      <c r="H2540" s="5">
        <v>2</v>
      </c>
      <c r="I2540" s="6" t="s">
        <v>6801</v>
      </c>
      <c r="J2540" s="5">
        <v>1080</v>
      </c>
    </row>
    <row r="2541" s="2" customFormat="1" spans="1:10">
      <c r="A2541" s="6">
        <f>2539</f>
        <v>2539</v>
      </c>
      <c r="B2541" s="6" t="s">
        <v>6802</v>
      </c>
      <c r="C2541" s="6" t="s">
        <v>12</v>
      </c>
      <c r="D2541" s="6" t="s">
        <v>6677</v>
      </c>
      <c r="E2541" s="6" t="s">
        <v>6678</v>
      </c>
      <c r="F2541" s="6" t="s">
        <v>6803</v>
      </c>
      <c r="G2541" s="6" t="s">
        <v>16</v>
      </c>
      <c r="H2541" s="5">
        <v>1</v>
      </c>
      <c r="I2541" s="6" t="s">
        <v>6803</v>
      </c>
      <c r="J2541" s="5">
        <v>490</v>
      </c>
    </row>
    <row r="2542" s="2" customFormat="1" spans="1:10">
      <c r="A2542" s="6">
        <f>2540</f>
        <v>2540</v>
      </c>
      <c r="B2542" s="6" t="s">
        <v>6804</v>
      </c>
      <c r="C2542" s="6" t="s">
        <v>12</v>
      </c>
      <c r="D2542" s="6" t="s">
        <v>6677</v>
      </c>
      <c r="E2542" s="6" t="s">
        <v>6678</v>
      </c>
      <c r="F2542" s="6" t="s">
        <v>6805</v>
      </c>
      <c r="G2542" s="6" t="s">
        <v>16</v>
      </c>
      <c r="H2542" s="5">
        <v>2</v>
      </c>
      <c r="I2542" s="6" t="s">
        <v>6806</v>
      </c>
      <c r="J2542" s="5">
        <v>880</v>
      </c>
    </row>
    <row r="2543" s="2" customFormat="1" spans="1:10">
      <c r="A2543" s="6">
        <f>2541</f>
        <v>2541</v>
      </c>
      <c r="B2543" s="6" t="s">
        <v>6807</v>
      </c>
      <c r="C2543" s="6" t="s">
        <v>12</v>
      </c>
      <c r="D2543" s="6" t="s">
        <v>6677</v>
      </c>
      <c r="E2543" s="6" t="s">
        <v>6678</v>
      </c>
      <c r="F2543" s="6" t="s">
        <v>6808</v>
      </c>
      <c r="G2543" s="6" t="s">
        <v>16</v>
      </c>
      <c r="H2543" s="5">
        <v>1</v>
      </c>
      <c r="I2543" s="6" t="s">
        <v>6808</v>
      </c>
      <c r="J2543" s="5">
        <v>380</v>
      </c>
    </row>
    <row r="2544" s="2" customFormat="1" spans="1:10">
      <c r="A2544" s="6">
        <f>2542</f>
        <v>2542</v>
      </c>
      <c r="B2544" s="6" t="s">
        <v>6809</v>
      </c>
      <c r="C2544" s="6" t="s">
        <v>12</v>
      </c>
      <c r="D2544" s="6" t="s">
        <v>6677</v>
      </c>
      <c r="E2544" s="6" t="s">
        <v>6678</v>
      </c>
      <c r="F2544" s="6" t="s">
        <v>6810</v>
      </c>
      <c r="G2544" s="6" t="s">
        <v>16</v>
      </c>
      <c r="H2544" s="5">
        <v>3</v>
      </c>
      <c r="I2544" s="6" t="s">
        <v>6811</v>
      </c>
      <c r="J2544" s="5">
        <v>1120</v>
      </c>
    </row>
    <row r="2545" s="2" customFormat="1" spans="1:10">
      <c r="A2545" s="6">
        <f>2543</f>
        <v>2543</v>
      </c>
      <c r="B2545" s="6" t="s">
        <v>6812</v>
      </c>
      <c r="C2545" s="6" t="s">
        <v>12</v>
      </c>
      <c r="D2545" s="6" t="s">
        <v>6677</v>
      </c>
      <c r="E2545" s="6" t="s">
        <v>6678</v>
      </c>
      <c r="F2545" s="6" t="s">
        <v>6813</v>
      </c>
      <c r="G2545" s="6" t="s">
        <v>16</v>
      </c>
      <c r="H2545" s="5">
        <v>1</v>
      </c>
      <c r="I2545" s="6" t="s">
        <v>6813</v>
      </c>
      <c r="J2545" s="5">
        <v>243</v>
      </c>
    </row>
    <row r="2546" s="2" customFormat="1" ht="27" spans="1:10">
      <c r="A2546" s="6">
        <f>2544</f>
        <v>2544</v>
      </c>
      <c r="B2546" s="6" t="s">
        <v>6814</v>
      </c>
      <c r="C2546" s="6" t="s">
        <v>12</v>
      </c>
      <c r="D2546" s="6" t="s">
        <v>6677</v>
      </c>
      <c r="E2546" s="6" t="s">
        <v>6678</v>
      </c>
      <c r="F2546" s="6" t="s">
        <v>6815</v>
      </c>
      <c r="G2546" s="6" t="s">
        <v>16</v>
      </c>
      <c r="H2546" s="5">
        <v>4</v>
      </c>
      <c r="I2546" s="6" t="s">
        <v>6816</v>
      </c>
      <c r="J2546" s="5">
        <v>875</v>
      </c>
    </row>
    <row r="2547" s="2" customFormat="1" spans="1:10">
      <c r="A2547" s="6">
        <f>2545</f>
        <v>2545</v>
      </c>
      <c r="B2547" s="6" t="s">
        <v>6817</v>
      </c>
      <c r="C2547" s="6" t="s">
        <v>12</v>
      </c>
      <c r="D2547" s="6" t="s">
        <v>6677</v>
      </c>
      <c r="E2547" s="6" t="s">
        <v>6678</v>
      </c>
      <c r="F2547" s="6" t="s">
        <v>6818</v>
      </c>
      <c r="G2547" s="6" t="s">
        <v>16</v>
      </c>
      <c r="H2547" s="5">
        <v>2</v>
      </c>
      <c r="I2547" s="6" t="s">
        <v>6819</v>
      </c>
      <c r="J2547" s="5">
        <v>420</v>
      </c>
    </row>
    <row r="2548" s="2" customFormat="1" spans="1:10">
      <c r="A2548" s="6">
        <f>2546</f>
        <v>2546</v>
      </c>
      <c r="B2548" s="6" t="s">
        <v>6820</v>
      </c>
      <c r="C2548" s="6" t="s">
        <v>12</v>
      </c>
      <c r="D2548" s="6" t="s">
        <v>6677</v>
      </c>
      <c r="E2548" s="6" t="s">
        <v>6678</v>
      </c>
      <c r="F2548" s="6" t="s">
        <v>6821</v>
      </c>
      <c r="G2548" s="6" t="s">
        <v>16</v>
      </c>
      <c r="H2548" s="5">
        <v>2</v>
      </c>
      <c r="I2548" s="6" t="s">
        <v>6822</v>
      </c>
      <c r="J2548" s="5">
        <v>538</v>
      </c>
    </row>
    <row r="2549" s="2" customFormat="1" spans="1:10">
      <c r="A2549" s="6">
        <f>2547</f>
        <v>2547</v>
      </c>
      <c r="B2549" s="6" t="s">
        <v>6823</v>
      </c>
      <c r="C2549" s="6" t="s">
        <v>12</v>
      </c>
      <c r="D2549" s="6" t="s">
        <v>6677</v>
      </c>
      <c r="E2549" s="6" t="s">
        <v>6678</v>
      </c>
      <c r="F2549" s="6" t="s">
        <v>6824</v>
      </c>
      <c r="G2549" s="6" t="s">
        <v>16</v>
      </c>
      <c r="H2549" s="5">
        <v>1</v>
      </c>
      <c r="I2549" s="6" t="s">
        <v>6824</v>
      </c>
      <c r="J2549" s="5">
        <v>253</v>
      </c>
    </row>
    <row r="2550" s="2" customFormat="1" spans="1:10">
      <c r="A2550" s="6">
        <f>2548</f>
        <v>2548</v>
      </c>
      <c r="B2550" s="6" t="s">
        <v>6825</v>
      </c>
      <c r="C2550" s="6" t="s">
        <v>12</v>
      </c>
      <c r="D2550" s="6" t="s">
        <v>6677</v>
      </c>
      <c r="E2550" s="6" t="s">
        <v>6826</v>
      </c>
      <c r="F2550" s="6" t="s">
        <v>6827</v>
      </c>
      <c r="G2550" s="6" t="s">
        <v>16</v>
      </c>
      <c r="H2550" s="5">
        <v>2</v>
      </c>
      <c r="I2550" s="6" t="s">
        <v>6828</v>
      </c>
      <c r="J2550" s="5">
        <v>880</v>
      </c>
    </row>
    <row r="2551" s="2" customFormat="1" spans="1:10">
      <c r="A2551" s="6">
        <f>2549</f>
        <v>2549</v>
      </c>
      <c r="B2551" s="6" t="s">
        <v>6829</v>
      </c>
      <c r="C2551" s="6" t="s">
        <v>12</v>
      </c>
      <c r="D2551" s="6" t="s">
        <v>6677</v>
      </c>
      <c r="E2551" s="6" t="s">
        <v>6826</v>
      </c>
      <c r="F2551" s="6" t="s">
        <v>6830</v>
      </c>
      <c r="G2551" s="6" t="s">
        <v>16</v>
      </c>
      <c r="H2551" s="5">
        <v>2</v>
      </c>
      <c r="I2551" s="6" t="s">
        <v>6831</v>
      </c>
      <c r="J2551" s="5">
        <v>1080</v>
      </c>
    </row>
    <row r="2552" s="2" customFormat="1" ht="27" spans="1:10">
      <c r="A2552" s="6">
        <f>2550</f>
        <v>2550</v>
      </c>
      <c r="B2552" s="6" t="s">
        <v>6832</v>
      </c>
      <c r="C2552" s="6" t="s">
        <v>12</v>
      </c>
      <c r="D2552" s="6" t="s">
        <v>6677</v>
      </c>
      <c r="E2552" s="6" t="s">
        <v>6826</v>
      </c>
      <c r="F2552" s="6" t="s">
        <v>6833</v>
      </c>
      <c r="G2552" s="6" t="s">
        <v>16</v>
      </c>
      <c r="H2552" s="5">
        <v>4</v>
      </c>
      <c r="I2552" s="6" t="s">
        <v>6834</v>
      </c>
      <c r="J2552" s="5">
        <v>1580</v>
      </c>
    </row>
    <row r="2553" s="2" customFormat="1" spans="1:10">
      <c r="A2553" s="6">
        <f>2551</f>
        <v>2551</v>
      </c>
      <c r="B2553" s="6" t="s">
        <v>6835</v>
      </c>
      <c r="C2553" s="6" t="s">
        <v>12</v>
      </c>
      <c r="D2553" s="6" t="s">
        <v>6677</v>
      </c>
      <c r="E2553" s="6" t="s">
        <v>6826</v>
      </c>
      <c r="F2553" s="6" t="s">
        <v>6836</v>
      </c>
      <c r="G2553" s="6" t="s">
        <v>16</v>
      </c>
      <c r="H2553" s="5">
        <v>1</v>
      </c>
      <c r="I2553" s="6" t="s">
        <v>6836</v>
      </c>
      <c r="J2553" s="5">
        <v>570</v>
      </c>
    </row>
    <row r="2554" s="2" customFormat="1" spans="1:10">
      <c r="A2554" s="6">
        <f>2552</f>
        <v>2552</v>
      </c>
      <c r="B2554" s="6" t="s">
        <v>6837</v>
      </c>
      <c r="C2554" s="6" t="s">
        <v>12</v>
      </c>
      <c r="D2554" s="6" t="s">
        <v>6677</v>
      </c>
      <c r="E2554" s="6" t="s">
        <v>6826</v>
      </c>
      <c r="F2554" s="6" t="s">
        <v>6838</v>
      </c>
      <c r="G2554" s="6" t="s">
        <v>16</v>
      </c>
      <c r="H2554" s="5">
        <v>1</v>
      </c>
      <c r="I2554" s="6" t="s">
        <v>6838</v>
      </c>
      <c r="J2554" s="5">
        <v>450</v>
      </c>
    </row>
    <row r="2555" s="2" customFormat="1" spans="1:10">
      <c r="A2555" s="6">
        <f>2553</f>
        <v>2553</v>
      </c>
      <c r="B2555" s="6" t="s">
        <v>6839</v>
      </c>
      <c r="C2555" s="6" t="s">
        <v>12</v>
      </c>
      <c r="D2555" s="6" t="s">
        <v>6677</v>
      </c>
      <c r="E2555" s="6" t="s">
        <v>6826</v>
      </c>
      <c r="F2555" s="6" t="s">
        <v>6840</v>
      </c>
      <c r="G2555" s="6" t="s">
        <v>16</v>
      </c>
      <c r="H2555" s="5">
        <v>1</v>
      </c>
      <c r="I2555" s="6" t="s">
        <v>6840</v>
      </c>
      <c r="J2555" s="5">
        <v>235</v>
      </c>
    </row>
    <row r="2556" s="2" customFormat="1" spans="1:10">
      <c r="A2556" s="6">
        <f>2554</f>
        <v>2554</v>
      </c>
      <c r="B2556" s="6" t="s">
        <v>6841</v>
      </c>
      <c r="C2556" s="6" t="s">
        <v>12</v>
      </c>
      <c r="D2556" s="6" t="s">
        <v>6677</v>
      </c>
      <c r="E2556" s="6" t="s">
        <v>6826</v>
      </c>
      <c r="F2556" s="6" t="s">
        <v>6842</v>
      </c>
      <c r="G2556" s="6" t="s">
        <v>16</v>
      </c>
      <c r="H2556" s="5">
        <v>2</v>
      </c>
      <c r="I2556" s="6" t="s">
        <v>6843</v>
      </c>
      <c r="J2556" s="5">
        <v>660</v>
      </c>
    </row>
    <row r="2557" s="2" customFormat="1" spans="1:10">
      <c r="A2557" s="6">
        <f>2555</f>
        <v>2555</v>
      </c>
      <c r="B2557" s="6" t="s">
        <v>6844</v>
      </c>
      <c r="C2557" s="6" t="s">
        <v>12</v>
      </c>
      <c r="D2557" s="6" t="s">
        <v>6677</v>
      </c>
      <c r="E2557" s="6" t="s">
        <v>6826</v>
      </c>
      <c r="F2557" s="6" t="s">
        <v>6845</v>
      </c>
      <c r="G2557" s="6" t="s">
        <v>16</v>
      </c>
      <c r="H2557" s="5">
        <v>1</v>
      </c>
      <c r="I2557" s="6" t="s">
        <v>6845</v>
      </c>
      <c r="J2557" s="5">
        <v>245</v>
      </c>
    </row>
    <row r="2558" s="2" customFormat="1" spans="1:10">
      <c r="A2558" s="6">
        <f>2556</f>
        <v>2556</v>
      </c>
      <c r="B2558" s="6" t="s">
        <v>6846</v>
      </c>
      <c r="C2558" s="6" t="s">
        <v>12</v>
      </c>
      <c r="D2558" s="6" t="s">
        <v>6677</v>
      </c>
      <c r="E2558" s="6" t="s">
        <v>6826</v>
      </c>
      <c r="F2558" s="6" t="s">
        <v>6847</v>
      </c>
      <c r="G2558" s="6" t="s">
        <v>16</v>
      </c>
      <c r="H2558" s="5">
        <v>2</v>
      </c>
      <c r="I2558" s="6" t="s">
        <v>6848</v>
      </c>
      <c r="J2558" s="5">
        <v>550</v>
      </c>
    </row>
    <row r="2559" s="2" customFormat="1" spans="1:10">
      <c r="A2559" s="6">
        <f>2557</f>
        <v>2557</v>
      </c>
      <c r="B2559" s="6" t="s">
        <v>6849</v>
      </c>
      <c r="C2559" s="6" t="s">
        <v>12</v>
      </c>
      <c r="D2559" s="6" t="s">
        <v>6677</v>
      </c>
      <c r="E2559" s="6" t="s">
        <v>6826</v>
      </c>
      <c r="F2559" s="6" t="s">
        <v>6850</v>
      </c>
      <c r="G2559" s="6" t="s">
        <v>16</v>
      </c>
      <c r="H2559" s="5">
        <v>3</v>
      </c>
      <c r="I2559" s="6" t="s">
        <v>6851</v>
      </c>
      <c r="J2559" s="5">
        <v>1120</v>
      </c>
    </row>
    <row r="2560" s="2" customFormat="1" spans="1:10">
      <c r="A2560" s="6">
        <f>2558</f>
        <v>2558</v>
      </c>
      <c r="B2560" s="6" t="s">
        <v>6852</v>
      </c>
      <c r="C2560" s="6" t="s">
        <v>12</v>
      </c>
      <c r="D2560" s="6" t="s">
        <v>6677</v>
      </c>
      <c r="E2560" s="6" t="s">
        <v>6826</v>
      </c>
      <c r="F2560" s="6" t="s">
        <v>6853</v>
      </c>
      <c r="G2560" s="6" t="s">
        <v>16</v>
      </c>
      <c r="H2560" s="5">
        <v>3</v>
      </c>
      <c r="I2560" s="6" t="s">
        <v>6854</v>
      </c>
      <c r="J2560" s="5">
        <v>1120</v>
      </c>
    </row>
    <row r="2561" s="2" customFormat="1" spans="1:10">
      <c r="A2561" s="6">
        <f>2559</f>
        <v>2559</v>
      </c>
      <c r="B2561" s="6" t="s">
        <v>6855</v>
      </c>
      <c r="C2561" s="6" t="s">
        <v>12</v>
      </c>
      <c r="D2561" s="6" t="s">
        <v>6677</v>
      </c>
      <c r="E2561" s="6" t="s">
        <v>6826</v>
      </c>
      <c r="F2561" s="6" t="s">
        <v>6856</v>
      </c>
      <c r="G2561" s="6" t="s">
        <v>16</v>
      </c>
      <c r="H2561" s="5">
        <v>1</v>
      </c>
      <c r="I2561" s="6" t="s">
        <v>6856</v>
      </c>
      <c r="J2561" s="5">
        <v>235</v>
      </c>
    </row>
    <row r="2562" s="2" customFormat="1" spans="1:10">
      <c r="A2562" s="6">
        <f>2560</f>
        <v>2560</v>
      </c>
      <c r="B2562" s="6" t="s">
        <v>6857</v>
      </c>
      <c r="C2562" s="6" t="s">
        <v>12</v>
      </c>
      <c r="D2562" s="6" t="s">
        <v>6677</v>
      </c>
      <c r="E2562" s="6" t="s">
        <v>6826</v>
      </c>
      <c r="F2562" s="6" t="s">
        <v>6858</v>
      </c>
      <c r="G2562" s="6" t="s">
        <v>16</v>
      </c>
      <c r="H2562" s="5">
        <v>3</v>
      </c>
      <c r="I2562" s="6" t="s">
        <v>6859</v>
      </c>
      <c r="J2562" s="5">
        <v>1620</v>
      </c>
    </row>
    <row r="2563" s="2" customFormat="1" spans="1:10">
      <c r="A2563" s="6">
        <f>2561</f>
        <v>2561</v>
      </c>
      <c r="B2563" s="6" t="s">
        <v>6860</v>
      </c>
      <c r="C2563" s="6" t="s">
        <v>12</v>
      </c>
      <c r="D2563" s="6" t="s">
        <v>6677</v>
      </c>
      <c r="E2563" s="6" t="s">
        <v>6826</v>
      </c>
      <c r="F2563" s="6" t="s">
        <v>6861</v>
      </c>
      <c r="G2563" s="6" t="s">
        <v>16</v>
      </c>
      <c r="H2563" s="5">
        <v>3</v>
      </c>
      <c r="I2563" s="6" t="s">
        <v>6862</v>
      </c>
      <c r="J2563" s="5">
        <v>1620</v>
      </c>
    </row>
    <row r="2564" s="2" customFormat="1" spans="1:10">
      <c r="A2564" s="6">
        <f>2562</f>
        <v>2562</v>
      </c>
      <c r="B2564" s="6" t="s">
        <v>6863</v>
      </c>
      <c r="C2564" s="6" t="s">
        <v>12</v>
      </c>
      <c r="D2564" s="6" t="s">
        <v>6677</v>
      </c>
      <c r="E2564" s="6" t="s">
        <v>6826</v>
      </c>
      <c r="F2564" s="6" t="s">
        <v>6864</v>
      </c>
      <c r="G2564" s="6" t="s">
        <v>16</v>
      </c>
      <c r="H2564" s="5">
        <v>1</v>
      </c>
      <c r="I2564" s="6" t="s">
        <v>6864</v>
      </c>
      <c r="J2564" s="5">
        <v>360</v>
      </c>
    </row>
    <row r="2565" s="2" customFormat="1" spans="1:10">
      <c r="A2565" s="6">
        <f>2563</f>
        <v>2563</v>
      </c>
      <c r="B2565" s="6" t="s">
        <v>6865</v>
      </c>
      <c r="C2565" s="6" t="s">
        <v>12</v>
      </c>
      <c r="D2565" s="6" t="s">
        <v>6677</v>
      </c>
      <c r="E2565" s="6" t="s">
        <v>6826</v>
      </c>
      <c r="F2565" s="6" t="s">
        <v>6866</v>
      </c>
      <c r="G2565" s="6" t="s">
        <v>16</v>
      </c>
      <c r="H2565" s="5">
        <v>1</v>
      </c>
      <c r="I2565" s="6" t="s">
        <v>6866</v>
      </c>
      <c r="J2565" s="5">
        <v>210</v>
      </c>
    </row>
    <row r="2566" s="2" customFormat="1" spans="1:10">
      <c r="A2566" s="6">
        <f>2564</f>
        <v>2564</v>
      </c>
      <c r="B2566" s="6" t="s">
        <v>6867</v>
      </c>
      <c r="C2566" s="6" t="s">
        <v>12</v>
      </c>
      <c r="D2566" s="6" t="s">
        <v>6677</v>
      </c>
      <c r="E2566" s="6" t="s">
        <v>6826</v>
      </c>
      <c r="F2566" s="6" t="s">
        <v>6868</v>
      </c>
      <c r="G2566" s="6" t="s">
        <v>16</v>
      </c>
      <c r="H2566" s="5">
        <v>2</v>
      </c>
      <c r="I2566" s="6" t="s">
        <v>6869</v>
      </c>
      <c r="J2566" s="5">
        <v>1080</v>
      </c>
    </row>
    <row r="2567" s="2" customFormat="1" spans="1:10">
      <c r="A2567" s="6">
        <f>2565</f>
        <v>2565</v>
      </c>
      <c r="B2567" s="6" t="s">
        <v>6870</v>
      </c>
      <c r="C2567" s="6" t="s">
        <v>12</v>
      </c>
      <c r="D2567" s="6" t="s">
        <v>6677</v>
      </c>
      <c r="E2567" s="6" t="s">
        <v>6826</v>
      </c>
      <c r="F2567" s="6" t="s">
        <v>6871</v>
      </c>
      <c r="G2567" s="6" t="s">
        <v>16</v>
      </c>
      <c r="H2567" s="5">
        <v>1</v>
      </c>
      <c r="I2567" s="6" t="s">
        <v>6871</v>
      </c>
      <c r="J2567" s="5">
        <v>245</v>
      </c>
    </row>
    <row r="2568" s="2" customFormat="1" spans="1:10">
      <c r="A2568" s="6">
        <f>2566</f>
        <v>2566</v>
      </c>
      <c r="B2568" s="6" t="s">
        <v>6872</v>
      </c>
      <c r="C2568" s="6" t="s">
        <v>12</v>
      </c>
      <c r="D2568" s="6" t="s">
        <v>6677</v>
      </c>
      <c r="E2568" s="6" t="s">
        <v>6826</v>
      </c>
      <c r="F2568" s="6" t="s">
        <v>6873</v>
      </c>
      <c r="G2568" s="6" t="s">
        <v>16</v>
      </c>
      <c r="H2568" s="5">
        <v>1</v>
      </c>
      <c r="I2568" s="6" t="s">
        <v>6873</v>
      </c>
      <c r="J2568" s="5">
        <v>540</v>
      </c>
    </row>
    <row r="2569" s="2" customFormat="1" spans="1:10">
      <c r="A2569" s="6">
        <f>2567</f>
        <v>2567</v>
      </c>
      <c r="B2569" s="6" t="s">
        <v>6874</v>
      </c>
      <c r="C2569" s="6" t="s">
        <v>12</v>
      </c>
      <c r="D2569" s="6" t="s">
        <v>6677</v>
      </c>
      <c r="E2569" s="6" t="s">
        <v>6826</v>
      </c>
      <c r="F2569" s="6" t="s">
        <v>6875</v>
      </c>
      <c r="G2569" s="6" t="s">
        <v>16</v>
      </c>
      <c r="H2569" s="5">
        <v>3</v>
      </c>
      <c r="I2569" s="6" t="s">
        <v>6876</v>
      </c>
      <c r="J2569" s="5">
        <v>730</v>
      </c>
    </row>
    <row r="2570" s="2" customFormat="1" ht="27" spans="1:10">
      <c r="A2570" s="6">
        <f>2568</f>
        <v>2568</v>
      </c>
      <c r="B2570" s="6" t="s">
        <v>6877</v>
      </c>
      <c r="C2570" s="6" t="s">
        <v>12</v>
      </c>
      <c r="D2570" s="6" t="s">
        <v>6677</v>
      </c>
      <c r="E2570" s="6" t="s">
        <v>6826</v>
      </c>
      <c r="F2570" s="6" t="s">
        <v>6878</v>
      </c>
      <c r="G2570" s="6" t="s">
        <v>16</v>
      </c>
      <c r="H2570" s="5">
        <v>4</v>
      </c>
      <c r="I2570" s="6" t="s">
        <v>6879</v>
      </c>
      <c r="J2570" s="5">
        <v>1440</v>
      </c>
    </row>
    <row r="2571" s="2" customFormat="1" spans="1:10">
      <c r="A2571" s="6">
        <f>2569</f>
        <v>2569</v>
      </c>
      <c r="B2571" s="6" t="s">
        <v>6880</v>
      </c>
      <c r="C2571" s="6" t="s">
        <v>12</v>
      </c>
      <c r="D2571" s="6" t="s">
        <v>6677</v>
      </c>
      <c r="E2571" s="6" t="s">
        <v>6826</v>
      </c>
      <c r="F2571" s="6" t="s">
        <v>6881</v>
      </c>
      <c r="G2571" s="6" t="s">
        <v>16</v>
      </c>
      <c r="H2571" s="5">
        <v>1</v>
      </c>
      <c r="I2571" s="6" t="s">
        <v>6881</v>
      </c>
      <c r="J2571" s="5">
        <v>540</v>
      </c>
    </row>
    <row r="2572" s="2" customFormat="1" spans="1:10">
      <c r="A2572" s="6">
        <f>2570</f>
        <v>2570</v>
      </c>
      <c r="B2572" s="6" t="s">
        <v>6882</v>
      </c>
      <c r="C2572" s="6" t="s">
        <v>12</v>
      </c>
      <c r="D2572" s="6" t="s">
        <v>6677</v>
      </c>
      <c r="E2572" s="6" t="s">
        <v>6826</v>
      </c>
      <c r="F2572" s="6" t="s">
        <v>6883</v>
      </c>
      <c r="G2572" s="6" t="s">
        <v>16</v>
      </c>
      <c r="H2572" s="5">
        <v>2</v>
      </c>
      <c r="I2572" s="6" t="s">
        <v>6884</v>
      </c>
      <c r="J2572" s="5">
        <v>520</v>
      </c>
    </row>
    <row r="2573" s="2" customFormat="1" spans="1:10">
      <c r="A2573" s="6">
        <f>2571</f>
        <v>2571</v>
      </c>
      <c r="B2573" s="6" t="s">
        <v>6885</v>
      </c>
      <c r="C2573" s="6" t="s">
        <v>12</v>
      </c>
      <c r="D2573" s="6" t="s">
        <v>6677</v>
      </c>
      <c r="E2573" s="6" t="s">
        <v>6826</v>
      </c>
      <c r="F2573" s="6" t="s">
        <v>6886</v>
      </c>
      <c r="G2573" s="6" t="s">
        <v>16</v>
      </c>
      <c r="H2573" s="5">
        <v>2</v>
      </c>
      <c r="I2573" s="6" t="s">
        <v>6887</v>
      </c>
      <c r="J2573" s="5">
        <v>680</v>
      </c>
    </row>
    <row r="2574" s="2" customFormat="1" spans="1:10">
      <c r="A2574" s="6">
        <f>2572</f>
        <v>2572</v>
      </c>
      <c r="B2574" s="6" t="s">
        <v>6888</v>
      </c>
      <c r="C2574" s="6" t="s">
        <v>12</v>
      </c>
      <c r="D2574" s="6" t="s">
        <v>6677</v>
      </c>
      <c r="E2574" s="6" t="s">
        <v>6826</v>
      </c>
      <c r="F2574" s="6" t="s">
        <v>6889</v>
      </c>
      <c r="G2574" s="6" t="s">
        <v>16</v>
      </c>
      <c r="H2574" s="5">
        <v>2</v>
      </c>
      <c r="I2574" s="6" t="s">
        <v>6890</v>
      </c>
      <c r="J2574" s="5">
        <v>1080</v>
      </c>
    </row>
    <row r="2575" s="2" customFormat="1" spans="1:10">
      <c r="A2575" s="6">
        <f>2573</f>
        <v>2573</v>
      </c>
      <c r="B2575" s="6" t="s">
        <v>6891</v>
      </c>
      <c r="C2575" s="6" t="s">
        <v>12</v>
      </c>
      <c r="D2575" s="6" t="s">
        <v>6677</v>
      </c>
      <c r="E2575" s="6" t="s">
        <v>6826</v>
      </c>
      <c r="F2575" s="6" t="s">
        <v>6892</v>
      </c>
      <c r="G2575" s="6" t="s">
        <v>16</v>
      </c>
      <c r="H2575" s="5">
        <v>1</v>
      </c>
      <c r="I2575" s="6" t="s">
        <v>6892</v>
      </c>
      <c r="J2575" s="5">
        <v>245</v>
      </c>
    </row>
    <row r="2576" s="2" customFormat="1" spans="1:10">
      <c r="A2576" s="6">
        <f>2574</f>
        <v>2574</v>
      </c>
      <c r="B2576" s="6" t="s">
        <v>6893</v>
      </c>
      <c r="C2576" s="6" t="s">
        <v>12</v>
      </c>
      <c r="D2576" s="6" t="s">
        <v>6677</v>
      </c>
      <c r="E2576" s="6" t="s">
        <v>6826</v>
      </c>
      <c r="F2576" s="6" t="s">
        <v>6894</v>
      </c>
      <c r="G2576" s="6" t="s">
        <v>16</v>
      </c>
      <c r="H2576" s="5">
        <v>2</v>
      </c>
      <c r="I2576" s="6" t="s">
        <v>6895</v>
      </c>
      <c r="J2576" s="5">
        <v>690</v>
      </c>
    </row>
    <row r="2577" s="2" customFormat="1" ht="27" spans="1:10">
      <c r="A2577" s="6">
        <f>2575</f>
        <v>2575</v>
      </c>
      <c r="B2577" s="6" t="s">
        <v>6896</v>
      </c>
      <c r="C2577" s="6" t="s">
        <v>12</v>
      </c>
      <c r="D2577" s="6" t="s">
        <v>6677</v>
      </c>
      <c r="E2577" s="6" t="s">
        <v>6826</v>
      </c>
      <c r="F2577" s="6" t="s">
        <v>6897</v>
      </c>
      <c r="G2577" s="6" t="s">
        <v>16</v>
      </c>
      <c r="H2577" s="5">
        <v>4</v>
      </c>
      <c r="I2577" s="6" t="s">
        <v>6898</v>
      </c>
      <c r="J2577" s="5">
        <v>2160</v>
      </c>
    </row>
    <row r="2578" s="2" customFormat="1" ht="27" spans="1:10">
      <c r="A2578" s="6">
        <f>2576</f>
        <v>2576</v>
      </c>
      <c r="B2578" s="6" t="s">
        <v>6899</v>
      </c>
      <c r="C2578" s="6" t="s">
        <v>12</v>
      </c>
      <c r="D2578" s="6" t="s">
        <v>6677</v>
      </c>
      <c r="E2578" s="6" t="s">
        <v>6826</v>
      </c>
      <c r="F2578" s="6" t="s">
        <v>6900</v>
      </c>
      <c r="G2578" s="6" t="s">
        <v>16</v>
      </c>
      <c r="H2578" s="5">
        <v>4</v>
      </c>
      <c r="I2578" s="6" t="s">
        <v>6901</v>
      </c>
      <c r="J2578" s="5">
        <v>510</v>
      </c>
    </row>
    <row r="2579" s="2" customFormat="1" spans="1:10">
      <c r="A2579" s="6">
        <f>2577</f>
        <v>2577</v>
      </c>
      <c r="B2579" s="6" t="s">
        <v>6902</v>
      </c>
      <c r="C2579" s="6" t="s">
        <v>12</v>
      </c>
      <c r="D2579" s="6" t="s">
        <v>6677</v>
      </c>
      <c r="E2579" s="6" t="s">
        <v>6826</v>
      </c>
      <c r="F2579" s="6" t="s">
        <v>6903</v>
      </c>
      <c r="G2579" s="6" t="s">
        <v>16</v>
      </c>
      <c r="H2579" s="5">
        <v>3</v>
      </c>
      <c r="I2579" s="6" t="s">
        <v>6904</v>
      </c>
      <c r="J2579" s="5">
        <v>580</v>
      </c>
    </row>
    <row r="2580" s="2" customFormat="1" spans="1:10">
      <c r="A2580" s="6">
        <f>2578</f>
        <v>2578</v>
      </c>
      <c r="B2580" s="6" t="s">
        <v>6905</v>
      </c>
      <c r="C2580" s="6" t="s">
        <v>12</v>
      </c>
      <c r="D2580" s="6" t="s">
        <v>6677</v>
      </c>
      <c r="E2580" s="6" t="s">
        <v>6826</v>
      </c>
      <c r="F2580" s="6" t="s">
        <v>6906</v>
      </c>
      <c r="G2580" s="6" t="s">
        <v>16</v>
      </c>
      <c r="H2580" s="5">
        <v>1</v>
      </c>
      <c r="I2580" s="6" t="s">
        <v>6906</v>
      </c>
      <c r="J2580" s="5">
        <v>250</v>
      </c>
    </row>
    <row r="2581" s="2" customFormat="1" spans="1:10">
      <c r="A2581" s="6">
        <f>2579</f>
        <v>2579</v>
      </c>
      <c r="B2581" s="6" t="s">
        <v>6907</v>
      </c>
      <c r="C2581" s="6" t="s">
        <v>12</v>
      </c>
      <c r="D2581" s="6" t="s">
        <v>6677</v>
      </c>
      <c r="E2581" s="6" t="s">
        <v>6826</v>
      </c>
      <c r="F2581" s="6" t="s">
        <v>6908</v>
      </c>
      <c r="G2581" s="6" t="s">
        <v>16</v>
      </c>
      <c r="H2581" s="5">
        <v>1</v>
      </c>
      <c r="I2581" s="6" t="s">
        <v>6908</v>
      </c>
      <c r="J2581" s="5">
        <v>540</v>
      </c>
    </row>
    <row r="2582" s="2" customFormat="1" spans="1:10">
      <c r="A2582" s="6">
        <f>2580</f>
        <v>2580</v>
      </c>
      <c r="B2582" s="6" t="s">
        <v>6909</v>
      </c>
      <c r="C2582" s="6" t="s">
        <v>12</v>
      </c>
      <c r="D2582" s="6" t="s">
        <v>6677</v>
      </c>
      <c r="E2582" s="6" t="s">
        <v>6826</v>
      </c>
      <c r="F2582" s="6" t="s">
        <v>6910</v>
      </c>
      <c r="G2582" s="6" t="s">
        <v>16</v>
      </c>
      <c r="H2582" s="5">
        <v>1</v>
      </c>
      <c r="I2582" s="6" t="s">
        <v>6910</v>
      </c>
      <c r="J2582" s="5">
        <v>245</v>
      </c>
    </row>
    <row r="2583" s="2" customFormat="1" spans="1:10">
      <c r="A2583" s="6">
        <f>2581</f>
        <v>2581</v>
      </c>
      <c r="B2583" s="6" t="s">
        <v>6911</v>
      </c>
      <c r="C2583" s="6" t="s">
        <v>12</v>
      </c>
      <c r="D2583" s="6" t="s">
        <v>6677</v>
      </c>
      <c r="E2583" s="6" t="s">
        <v>6826</v>
      </c>
      <c r="F2583" s="6" t="s">
        <v>6912</v>
      </c>
      <c r="G2583" s="6" t="s">
        <v>16</v>
      </c>
      <c r="H2583" s="5">
        <v>1</v>
      </c>
      <c r="I2583" s="6" t="s">
        <v>6912</v>
      </c>
      <c r="J2583" s="5">
        <v>480</v>
      </c>
    </row>
    <row r="2584" s="2" customFormat="1" spans="1:10">
      <c r="A2584" s="6">
        <f>2582</f>
        <v>2582</v>
      </c>
      <c r="B2584" s="6" t="s">
        <v>6913</v>
      </c>
      <c r="C2584" s="6" t="s">
        <v>12</v>
      </c>
      <c r="D2584" s="6" t="s">
        <v>6677</v>
      </c>
      <c r="E2584" s="6" t="s">
        <v>6826</v>
      </c>
      <c r="F2584" s="6" t="s">
        <v>6914</v>
      </c>
      <c r="G2584" s="6" t="s">
        <v>16</v>
      </c>
      <c r="H2584" s="5">
        <v>1</v>
      </c>
      <c r="I2584" s="6" t="s">
        <v>6914</v>
      </c>
      <c r="J2584" s="5">
        <v>540</v>
      </c>
    </row>
    <row r="2585" s="2" customFormat="1" ht="27" spans="1:10">
      <c r="A2585" s="6">
        <f>2583</f>
        <v>2583</v>
      </c>
      <c r="B2585" s="6" t="s">
        <v>6915</v>
      </c>
      <c r="C2585" s="6" t="s">
        <v>12</v>
      </c>
      <c r="D2585" s="6" t="s">
        <v>6677</v>
      </c>
      <c r="E2585" s="6" t="s">
        <v>6826</v>
      </c>
      <c r="F2585" s="6" t="s">
        <v>6916</v>
      </c>
      <c r="G2585" s="6" t="s">
        <v>16</v>
      </c>
      <c r="H2585" s="5">
        <v>4</v>
      </c>
      <c r="I2585" s="6" t="s">
        <v>6917</v>
      </c>
      <c r="J2585" s="5">
        <v>1040</v>
      </c>
    </row>
    <row r="2586" s="2" customFormat="1" spans="1:10">
      <c r="A2586" s="6">
        <f>2584</f>
        <v>2584</v>
      </c>
      <c r="B2586" s="6" t="s">
        <v>6918</v>
      </c>
      <c r="C2586" s="6" t="s">
        <v>12</v>
      </c>
      <c r="D2586" s="6" t="s">
        <v>6677</v>
      </c>
      <c r="E2586" s="6" t="s">
        <v>6826</v>
      </c>
      <c r="F2586" s="6" t="s">
        <v>6919</v>
      </c>
      <c r="G2586" s="6" t="s">
        <v>16</v>
      </c>
      <c r="H2586" s="5">
        <v>3</v>
      </c>
      <c r="I2586" s="6" t="s">
        <v>6920</v>
      </c>
      <c r="J2586" s="5">
        <v>530</v>
      </c>
    </row>
    <row r="2587" s="2" customFormat="1" spans="1:10">
      <c r="A2587" s="6">
        <f>2585</f>
        <v>2585</v>
      </c>
      <c r="B2587" s="6" t="s">
        <v>6921</v>
      </c>
      <c r="C2587" s="6" t="s">
        <v>12</v>
      </c>
      <c r="D2587" s="6" t="s">
        <v>6677</v>
      </c>
      <c r="E2587" s="6" t="s">
        <v>6826</v>
      </c>
      <c r="F2587" s="6" t="s">
        <v>6922</v>
      </c>
      <c r="G2587" s="6" t="s">
        <v>16</v>
      </c>
      <c r="H2587" s="5">
        <v>1</v>
      </c>
      <c r="I2587" s="6" t="s">
        <v>6922</v>
      </c>
      <c r="J2587" s="5">
        <v>245</v>
      </c>
    </row>
    <row r="2588" s="2" customFormat="1" ht="27" spans="1:10">
      <c r="A2588" s="6">
        <f>2586</f>
        <v>2586</v>
      </c>
      <c r="B2588" s="6" t="s">
        <v>6923</v>
      </c>
      <c r="C2588" s="6" t="s">
        <v>12</v>
      </c>
      <c r="D2588" s="6" t="s">
        <v>6677</v>
      </c>
      <c r="E2588" s="6" t="s">
        <v>6826</v>
      </c>
      <c r="F2588" s="6" t="s">
        <v>6924</v>
      </c>
      <c r="G2588" s="6" t="s">
        <v>16</v>
      </c>
      <c r="H2588" s="5">
        <v>6</v>
      </c>
      <c r="I2588" s="6" t="s">
        <v>6925</v>
      </c>
      <c r="J2588" s="5">
        <v>3240</v>
      </c>
    </row>
    <row r="2589" s="2" customFormat="1" spans="1:10">
      <c r="A2589" s="6">
        <f>2587</f>
        <v>2587</v>
      </c>
      <c r="B2589" s="6" t="s">
        <v>6926</v>
      </c>
      <c r="C2589" s="6" t="s">
        <v>12</v>
      </c>
      <c r="D2589" s="6" t="s">
        <v>6677</v>
      </c>
      <c r="E2589" s="6" t="s">
        <v>6826</v>
      </c>
      <c r="F2589" s="6" t="s">
        <v>6927</v>
      </c>
      <c r="G2589" s="6" t="s">
        <v>16</v>
      </c>
      <c r="H2589" s="5">
        <v>1</v>
      </c>
      <c r="I2589" s="6" t="s">
        <v>6927</v>
      </c>
      <c r="J2589" s="5">
        <v>540</v>
      </c>
    </row>
    <row r="2590" s="2" customFormat="1" spans="1:10">
      <c r="A2590" s="6">
        <f>2588</f>
        <v>2588</v>
      </c>
      <c r="B2590" s="6" t="s">
        <v>6928</v>
      </c>
      <c r="C2590" s="6" t="s">
        <v>12</v>
      </c>
      <c r="D2590" s="6" t="s">
        <v>6677</v>
      </c>
      <c r="E2590" s="6" t="s">
        <v>6826</v>
      </c>
      <c r="F2590" s="6" t="s">
        <v>6929</v>
      </c>
      <c r="G2590" s="6" t="s">
        <v>16</v>
      </c>
      <c r="H2590" s="5">
        <v>1</v>
      </c>
      <c r="I2590" s="6" t="s">
        <v>6929</v>
      </c>
      <c r="J2590" s="5">
        <v>540</v>
      </c>
    </row>
    <row r="2591" s="2" customFormat="1" spans="1:10">
      <c r="A2591" s="6">
        <f>2589</f>
        <v>2589</v>
      </c>
      <c r="B2591" s="6" t="s">
        <v>6930</v>
      </c>
      <c r="C2591" s="6" t="s">
        <v>12</v>
      </c>
      <c r="D2591" s="6" t="s">
        <v>6677</v>
      </c>
      <c r="E2591" s="6" t="s">
        <v>6826</v>
      </c>
      <c r="F2591" s="6" t="s">
        <v>6931</v>
      </c>
      <c r="G2591" s="6" t="s">
        <v>16</v>
      </c>
      <c r="H2591" s="5">
        <v>1</v>
      </c>
      <c r="I2591" s="6" t="s">
        <v>6931</v>
      </c>
      <c r="J2591" s="5">
        <v>540</v>
      </c>
    </row>
    <row r="2592" s="2" customFormat="1" spans="1:10">
      <c r="A2592" s="6">
        <f>2590</f>
        <v>2590</v>
      </c>
      <c r="B2592" s="6" t="s">
        <v>6932</v>
      </c>
      <c r="C2592" s="6" t="s">
        <v>12</v>
      </c>
      <c r="D2592" s="6" t="s">
        <v>6677</v>
      </c>
      <c r="E2592" s="6" t="s">
        <v>6826</v>
      </c>
      <c r="F2592" s="6" t="s">
        <v>6933</v>
      </c>
      <c r="G2592" s="6" t="s">
        <v>16</v>
      </c>
      <c r="H2592" s="5">
        <v>2</v>
      </c>
      <c r="I2592" s="6" t="s">
        <v>6934</v>
      </c>
      <c r="J2592" s="5">
        <v>580</v>
      </c>
    </row>
    <row r="2593" s="2" customFormat="1" spans="1:10">
      <c r="A2593" s="6">
        <f>2591</f>
        <v>2591</v>
      </c>
      <c r="B2593" s="6" t="s">
        <v>6935</v>
      </c>
      <c r="C2593" s="6" t="s">
        <v>12</v>
      </c>
      <c r="D2593" s="6" t="s">
        <v>6677</v>
      </c>
      <c r="E2593" s="6" t="s">
        <v>6826</v>
      </c>
      <c r="F2593" s="6" t="s">
        <v>6936</v>
      </c>
      <c r="G2593" s="6" t="s">
        <v>16</v>
      </c>
      <c r="H2593" s="5">
        <v>1</v>
      </c>
      <c r="I2593" s="6" t="s">
        <v>6936</v>
      </c>
      <c r="J2593" s="5">
        <v>275</v>
      </c>
    </row>
    <row r="2594" s="2" customFormat="1" spans="1:10">
      <c r="A2594" s="6">
        <f>2592</f>
        <v>2592</v>
      </c>
      <c r="B2594" s="6" t="s">
        <v>6937</v>
      </c>
      <c r="C2594" s="6" t="s">
        <v>12</v>
      </c>
      <c r="D2594" s="6" t="s">
        <v>6677</v>
      </c>
      <c r="E2594" s="6" t="s">
        <v>6826</v>
      </c>
      <c r="F2594" s="6" t="s">
        <v>6938</v>
      </c>
      <c r="G2594" s="6" t="s">
        <v>16</v>
      </c>
      <c r="H2594" s="5">
        <v>2</v>
      </c>
      <c r="I2594" s="6" t="s">
        <v>6939</v>
      </c>
      <c r="J2594" s="5">
        <v>1080</v>
      </c>
    </row>
    <row r="2595" s="2" customFormat="1" spans="1:10">
      <c r="A2595" s="6">
        <f>2593</f>
        <v>2593</v>
      </c>
      <c r="B2595" s="6" t="s">
        <v>6940</v>
      </c>
      <c r="C2595" s="6" t="s">
        <v>12</v>
      </c>
      <c r="D2595" s="6" t="s">
        <v>6677</v>
      </c>
      <c r="E2595" s="6" t="s">
        <v>6826</v>
      </c>
      <c r="F2595" s="6" t="s">
        <v>6941</v>
      </c>
      <c r="G2595" s="6" t="s">
        <v>16</v>
      </c>
      <c r="H2595" s="5">
        <v>1</v>
      </c>
      <c r="I2595" s="6" t="s">
        <v>6941</v>
      </c>
      <c r="J2595" s="5">
        <v>245</v>
      </c>
    </row>
    <row r="2596" s="2" customFormat="1" spans="1:10">
      <c r="A2596" s="6">
        <f>2594</f>
        <v>2594</v>
      </c>
      <c r="B2596" s="6" t="s">
        <v>6942</v>
      </c>
      <c r="C2596" s="6" t="s">
        <v>12</v>
      </c>
      <c r="D2596" s="6" t="s">
        <v>6677</v>
      </c>
      <c r="E2596" s="6" t="s">
        <v>6943</v>
      </c>
      <c r="F2596" s="6" t="s">
        <v>6944</v>
      </c>
      <c r="G2596" s="6" t="s">
        <v>16</v>
      </c>
      <c r="H2596" s="5">
        <v>3</v>
      </c>
      <c r="I2596" s="6" t="s">
        <v>6945</v>
      </c>
      <c r="J2596" s="5">
        <v>770</v>
      </c>
    </row>
    <row r="2597" s="2" customFormat="1" spans="1:10">
      <c r="A2597" s="6">
        <f>2595</f>
        <v>2595</v>
      </c>
      <c r="B2597" s="6" t="s">
        <v>6946</v>
      </c>
      <c r="C2597" s="6" t="s">
        <v>12</v>
      </c>
      <c r="D2597" s="6" t="s">
        <v>6677</v>
      </c>
      <c r="E2597" s="6" t="s">
        <v>6943</v>
      </c>
      <c r="F2597" s="6" t="s">
        <v>6947</v>
      </c>
      <c r="G2597" s="6" t="s">
        <v>16</v>
      </c>
      <c r="H2597" s="5">
        <v>1</v>
      </c>
      <c r="I2597" s="6" t="s">
        <v>6947</v>
      </c>
      <c r="J2597" s="5">
        <v>540</v>
      </c>
    </row>
    <row r="2598" s="2" customFormat="1" spans="1:10">
      <c r="A2598" s="6">
        <f>2596</f>
        <v>2596</v>
      </c>
      <c r="B2598" s="6" t="s">
        <v>6948</v>
      </c>
      <c r="C2598" s="6" t="s">
        <v>12</v>
      </c>
      <c r="D2598" s="6" t="s">
        <v>6677</v>
      </c>
      <c r="E2598" s="6" t="s">
        <v>6943</v>
      </c>
      <c r="F2598" s="6" t="s">
        <v>6949</v>
      </c>
      <c r="G2598" s="6" t="s">
        <v>16</v>
      </c>
      <c r="H2598" s="5">
        <v>1</v>
      </c>
      <c r="I2598" s="6" t="s">
        <v>6949</v>
      </c>
      <c r="J2598" s="5">
        <v>180</v>
      </c>
    </row>
    <row r="2599" s="2" customFormat="1" spans="1:10">
      <c r="A2599" s="6">
        <f>2597</f>
        <v>2597</v>
      </c>
      <c r="B2599" s="6" t="s">
        <v>6950</v>
      </c>
      <c r="C2599" s="6" t="s">
        <v>12</v>
      </c>
      <c r="D2599" s="6" t="s">
        <v>6677</v>
      </c>
      <c r="E2599" s="6" t="s">
        <v>6943</v>
      </c>
      <c r="F2599" s="6" t="s">
        <v>6951</v>
      </c>
      <c r="G2599" s="6" t="s">
        <v>16</v>
      </c>
      <c r="H2599" s="5">
        <v>1</v>
      </c>
      <c r="I2599" s="6" t="s">
        <v>6951</v>
      </c>
      <c r="J2599" s="5">
        <v>390</v>
      </c>
    </row>
    <row r="2600" s="2" customFormat="1" spans="1:10">
      <c r="A2600" s="6">
        <f>2598</f>
        <v>2598</v>
      </c>
      <c r="B2600" s="6" t="s">
        <v>6952</v>
      </c>
      <c r="C2600" s="6" t="s">
        <v>12</v>
      </c>
      <c r="D2600" s="6" t="s">
        <v>6677</v>
      </c>
      <c r="E2600" s="6" t="s">
        <v>6943</v>
      </c>
      <c r="F2600" s="6" t="s">
        <v>6953</v>
      </c>
      <c r="G2600" s="6" t="s">
        <v>16</v>
      </c>
      <c r="H2600" s="5">
        <v>1</v>
      </c>
      <c r="I2600" s="6" t="s">
        <v>6953</v>
      </c>
      <c r="J2600" s="5">
        <v>255</v>
      </c>
    </row>
    <row r="2601" s="2" customFormat="1" spans="1:10">
      <c r="A2601" s="6">
        <f>2599</f>
        <v>2599</v>
      </c>
      <c r="B2601" s="6" t="s">
        <v>6954</v>
      </c>
      <c r="C2601" s="6" t="s">
        <v>12</v>
      </c>
      <c r="D2601" s="6" t="s">
        <v>6677</v>
      </c>
      <c r="E2601" s="6" t="s">
        <v>6943</v>
      </c>
      <c r="F2601" s="6" t="s">
        <v>6955</v>
      </c>
      <c r="G2601" s="6" t="s">
        <v>16</v>
      </c>
      <c r="H2601" s="5">
        <v>1</v>
      </c>
      <c r="I2601" s="6" t="s">
        <v>6955</v>
      </c>
      <c r="J2601" s="5">
        <v>260</v>
      </c>
    </row>
    <row r="2602" s="2" customFormat="1" spans="1:10">
      <c r="A2602" s="6">
        <f>2600</f>
        <v>2600</v>
      </c>
      <c r="B2602" s="6" t="s">
        <v>6956</v>
      </c>
      <c r="C2602" s="6" t="s">
        <v>12</v>
      </c>
      <c r="D2602" s="6" t="s">
        <v>6677</v>
      </c>
      <c r="E2602" s="6" t="s">
        <v>6943</v>
      </c>
      <c r="F2602" s="6" t="s">
        <v>6957</v>
      </c>
      <c r="G2602" s="6" t="s">
        <v>16</v>
      </c>
      <c r="H2602" s="5">
        <v>1</v>
      </c>
      <c r="I2602" s="6" t="s">
        <v>6957</v>
      </c>
      <c r="J2602" s="5">
        <v>265</v>
      </c>
    </row>
    <row r="2603" s="2" customFormat="1" spans="1:10">
      <c r="A2603" s="6">
        <f>2601</f>
        <v>2601</v>
      </c>
      <c r="B2603" s="6" t="s">
        <v>6958</v>
      </c>
      <c r="C2603" s="6" t="s">
        <v>12</v>
      </c>
      <c r="D2603" s="6" t="s">
        <v>6677</v>
      </c>
      <c r="E2603" s="6" t="s">
        <v>6943</v>
      </c>
      <c r="F2603" s="6" t="s">
        <v>6959</v>
      </c>
      <c r="G2603" s="6" t="s">
        <v>16</v>
      </c>
      <c r="H2603" s="5">
        <v>1</v>
      </c>
      <c r="I2603" s="6" t="s">
        <v>6959</v>
      </c>
      <c r="J2603" s="5">
        <v>300</v>
      </c>
    </row>
    <row r="2604" s="2" customFormat="1" spans="1:10">
      <c r="A2604" s="6">
        <f>2602</f>
        <v>2602</v>
      </c>
      <c r="B2604" s="6" t="s">
        <v>6960</v>
      </c>
      <c r="C2604" s="6" t="s">
        <v>12</v>
      </c>
      <c r="D2604" s="6" t="s">
        <v>6677</v>
      </c>
      <c r="E2604" s="6" t="s">
        <v>6943</v>
      </c>
      <c r="F2604" s="6" t="s">
        <v>6961</v>
      </c>
      <c r="G2604" s="6" t="s">
        <v>16</v>
      </c>
      <c r="H2604" s="5">
        <v>1</v>
      </c>
      <c r="I2604" s="6" t="s">
        <v>6961</v>
      </c>
      <c r="J2604" s="5">
        <v>310</v>
      </c>
    </row>
    <row r="2605" s="2" customFormat="1" spans="1:10">
      <c r="A2605" s="6">
        <f>2603</f>
        <v>2603</v>
      </c>
      <c r="B2605" s="6" t="s">
        <v>6962</v>
      </c>
      <c r="C2605" s="6" t="s">
        <v>12</v>
      </c>
      <c r="D2605" s="6" t="s">
        <v>6677</v>
      </c>
      <c r="E2605" s="6" t="s">
        <v>6943</v>
      </c>
      <c r="F2605" s="6" t="s">
        <v>6963</v>
      </c>
      <c r="G2605" s="6" t="s">
        <v>16</v>
      </c>
      <c r="H2605" s="5">
        <v>1</v>
      </c>
      <c r="I2605" s="6" t="s">
        <v>6963</v>
      </c>
      <c r="J2605" s="5">
        <v>310</v>
      </c>
    </row>
    <row r="2606" s="2" customFormat="1" spans="1:10">
      <c r="A2606" s="6">
        <f>2604</f>
        <v>2604</v>
      </c>
      <c r="B2606" s="6" t="s">
        <v>6964</v>
      </c>
      <c r="C2606" s="6" t="s">
        <v>12</v>
      </c>
      <c r="D2606" s="6" t="s">
        <v>6677</v>
      </c>
      <c r="E2606" s="6" t="s">
        <v>6943</v>
      </c>
      <c r="F2606" s="6" t="s">
        <v>6965</v>
      </c>
      <c r="G2606" s="6" t="s">
        <v>16</v>
      </c>
      <c r="H2606" s="5">
        <v>1</v>
      </c>
      <c r="I2606" s="6" t="s">
        <v>6965</v>
      </c>
      <c r="J2606" s="5">
        <v>245</v>
      </c>
    </row>
    <row r="2607" s="2" customFormat="1" spans="1:10">
      <c r="A2607" s="6">
        <f>2605</f>
        <v>2605</v>
      </c>
      <c r="B2607" s="6" t="s">
        <v>6966</v>
      </c>
      <c r="C2607" s="6" t="s">
        <v>12</v>
      </c>
      <c r="D2607" s="6" t="s">
        <v>6677</v>
      </c>
      <c r="E2607" s="6" t="s">
        <v>6943</v>
      </c>
      <c r="F2607" s="6" t="s">
        <v>6967</v>
      </c>
      <c r="G2607" s="6" t="s">
        <v>16</v>
      </c>
      <c r="H2607" s="5">
        <v>2</v>
      </c>
      <c r="I2607" s="6" t="s">
        <v>6968</v>
      </c>
      <c r="J2607" s="5">
        <v>520</v>
      </c>
    </row>
    <row r="2608" s="2" customFormat="1" spans="1:10">
      <c r="A2608" s="6">
        <f>2606</f>
        <v>2606</v>
      </c>
      <c r="B2608" s="6" t="s">
        <v>6969</v>
      </c>
      <c r="C2608" s="6" t="s">
        <v>12</v>
      </c>
      <c r="D2608" s="6" t="s">
        <v>6677</v>
      </c>
      <c r="E2608" s="6" t="s">
        <v>6943</v>
      </c>
      <c r="F2608" s="6" t="s">
        <v>6970</v>
      </c>
      <c r="G2608" s="6" t="s">
        <v>16</v>
      </c>
      <c r="H2608" s="5">
        <v>1</v>
      </c>
      <c r="I2608" s="6" t="s">
        <v>6970</v>
      </c>
      <c r="J2608" s="5">
        <v>300</v>
      </c>
    </row>
    <row r="2609" s="2" customFormat="1" ht="27" spans="1:10">
      <c r="A2609" s="6">
        <f>2607</f>
        <v>2607</v>
      </c>
      <c r="B2609" s="6" t="s">
        <v>6971</v>
      </c>
      <c r="C2609" s="6" t="s">
        <v>12</v>
      </c>
      <c r="D2609" s="6" t="s">
        <v>6677</v>
      </c>
      <c r="E2609" s="6" t="s">
        <v>6943</v>
      </c>
      <c r="F2609" s="6" t="s">
        <v>6972</v>
      </c>
      <c r="G2609" s="6" t="s">
        <v>16</v>
      </c>
      <c r="H2609" s="5">
        <v>4</v>
      </c>
      <c r="I2609" s="6" t="s">
        <v>6973</v>
      </c>
      <c r="J2609" s="5">
        <v>843</v>
      </c>
    </row>
    <row r="2610" s="2" customFormat="1" spans="1:10">
      <c r="A2610" s="6">
        <f>2608</f>
        <v>2608</v>
      </c>
      <c r="B2610" s="6" t="s">
        <v>6974</v>
      </c>
      <c r="C2610" s="6" t="s">
        <v>12</v>
      </c>
      <c r="D2610" s="6" t="s">
        <v>6677</v>
      </c>
      <c r="E2610" s="6" t="s">
        <v>6943</v>
      </c>
      <c r="F2610" s="6" t="s">
        <v>6975</v>
      </c>
      <c r="G2610" s="6" t="s">
        <v>16</v>
      </c>
      <c r="H2610" s="5">
        <v>1</v>
      </c>
      <c r="I2610" s="6" t="s">
        <v>6975</v>
      </c>
      <c r="J2610" s="5">
        <v>540</v>
      </c>
    </row>
    <row r="2611" s="2" customFormat="1" spans="1:10">
      <c r="A2611" s="6">
        <f>2609</f>
        <v>2609</v>
      </c>
      <c r="B2611" s="6" t="s">
        <v>6976</v>
      </c>
      <c r="C2611" s="6" t="s">
        <v>12</v>
      </c>
      <c r="D2611" s="6" t="s">
        <v>6677</v>
      </c>
      <c r="E2611" s="6" t="s">
        <v>6943</v>
      </c>
      <c r="F2611" s="6" t="s">
        <v>6977</v>
      </c>
      <c r="G2611" s="6" t="s">
        <v>16</v>
      </c>
      <c r="H2611" s="5">
        <v>1</v>
      </c>
      <c r="I2611" s="6" t="s">
        <v>6977</v>
      </c>
      <c r="J2611" s="5">
        <v>300</v>
      </c>
    </row>
    <row r="2612" s="2" customFormat="1" spans="1:10">
      <c r="A2612" s="6">
        <f>2610</f>
        <v>2610</v>
      </c>
      <c r="B2612" s="6" t="s">
        <v>6978</v>
      </c>
      <c r="C2612" s="6" t="s">
        <v>12</v>
      </c>
      <c r="D2612" s="6" t="s">
        <v>6677</v>
      </c>
      <c r="E2612" s="6" t="s">
        <v>6943</v>
      </c>
      <c r="F2612" s="6" t="s">
        <v>6979</v>
      </c>
      <c r="G2612" s="6" t="s">
        <v>16</v>
      </c>
      <c r="H2612" s="5">
        <v>1</v>
      </c>
      <c r="I2612" s="6" t="s">
        <v>6979</v>
      </c>
      <c r="J2612" s="5">
        <v>300</v>
      </c>
    </row>
    <row r="2613" s="2" customFormat="1" spans="1:10">
      <c r="A2613" s="6">
        <f>2611</f>
        <v>2611</v>
      </c>
      <c r="B2613" s="6" t="s">
        <v>6980</v>
      </c>
      <c r="C2613" s="6" t="s">
        <v>12</v>
      </c>
      <c r="D2613" s="6" t="s">
        <v>6677</v>
      </c>
      <c r="E2613" s="6" t="s">
        <v>6943</v>
      </c>
      <c r="F2613" s="6" t="s">
        <v>6981</v>
      </c>
      <c r="G2613" s="6" t="s">
        <v>16</v>
      </c>
      <c r="H2613" s="5">
        <v>1</v>
      </c>
      <c r="I2613" s="6" t="s">
        <v>6981</v>
      </c>
      <c r="J2613" s="5">
        <v>245</v>
      </c>
    </row>
    <row r="2614" s="2" customFormat="1" spans="1:10">
      <c r="A2614" s="6">
        <f>2612</f>
        <v>2612</v>
      </c>
      <c r="B2614" s="6" t="s">
        <v>6982</v>
      </c>
      <c r="C2614" s="6" t="s">
        <v>12</v>
      </c>
      <c r="D2614" s="6" t="s">
        <v>6677</v>
      </c>
      <c r="E2614" s="6" t="s">
        <v>6943</v>
      </c>
      <c r="F2614" s="6" t="s">
        <v>6983</v>
      </c>
      <c r="G2614" s="6" t="s">
        <v>16</v>
      </c>
      <c r="H2614" s="5">
        <v>1</v>
      </c>
      <c r="I2614" s="6" t="s">
        <v>6983</v>
      </c>
      <c r="J2614" s="5">
        <v>230</v>
      </c>
    </row>
    <row r="2615" s="2" customFormat="1" spans="1:10">
      <c r="A2615" s="6">
        <f>2613</f>
        <v>2613</v>
      </c>
      <c r="B2615" s="6" t="s">
        <v>6984</v>
      </c>
      <c r="C2615" s="6" t="s">
        <v>12</v>
      </c>
      <c r="D2615" s="6" t="s">
        <v>6677</v>
      </c>
      <c r="E2615" s="6" t="s">
        <v>6943</v>
      </c>
      <c r="F2615" s="6" t="s">
        <v>6985</v>
      </c>
      <c r="G2615" s="6" t="s">
        <v>16</v>
      </c>
      <c r="H2615" s="5">
        <v>3</v>
      </c>
      <c r="I2615" s="6" t="s">
        <v>6986</v>
      </c>
      <c r="J2615" s="5">
        <v>390</v>
      </c>
    </row>
    <row r="2616" s="2" customFormat="1" ht="27" spans="1:10">
      <c r="A2616" s="6">
        <f>2614</f>
        <v>2614</v>
      </c>
      <c r="B2616" s="6" t="s">
        <v>6987</v>
      </c>
      <c r="C2616" s="6" t="s">
        <v>12</v>
      </c>
      <c r="D2616" s="6" t="s">
        <v>6677</v>
      </c>
      <c r="E2616" s="6" t="s">
        <v>6943</v>
      </c>
      <c r="F2616" s="6" t="s">
        <v>6988</v>
      </c>
      <c r="G2616" s="6" t="s">
        <v>16</v>
      </c>
      <c r="H2616" s="5">
        <v>4</v>
      </c>
      <c r="I2616" s="6" t="s">
        <v>6989</v>
      </c>
      <c r="J2616" s="5">
        <v>992</v>
      </c>
    </row>
    <row r="2617" s="2" customFormat="1" spans="1:10">
      <c r="A2617" s="6">
        <f>2615</f>
        <v>2615</v>
      </c>
      <c r="B2617" s="6" t="s">
        <v>6990</v>
      </c>
      <c r="C2617" s="6" t="s">
        <v>12</v>
      </c>
      <c r="D2617" s="6" t="s">
        <v>6677</v>
      </c>
      <c r="E2617" s="6" t="s">
        <v>6943</v>
      </c>
      <c r="F2617" s="6" t="s">
        <v>6991</v>
      </c>
      <c r="G2617" s="6" t="s">
        <v>16</v>
      </c>
      <c r="H2617" s="5">
        <v>1</v>
      </c>
      <c r="I2617" s="6" t="s">
        <v>6991</v>
      </c>
      <c r="J2617" s="5">
        <v>300</v>
      </c>
    </row>
    <row r="2618" s="2" customFormat="1" spans="1:10">
      <c r="A2618" s="6">
        <f>2616</f>
        <v>2616</v>
      </c>
      <c r="B2618" s="6" t="s">
        <v>6992</v>
      </c>
      <c r="C2618" s="6" t="s">
        <v>12</v>
      </c>
      <c r="D2618" s="6" t="s">
        <v>6677</v>
      </c>
      <c r="E2618" s="6" t="s">
        <v>6943</v>
      </c>
      <c r="F2618" s="6" t="s">
        <v>6993</v>
      </c>
      <c r="G2618" s="6" t="s">
        <v>16</v>
      </c>
      <c r="H2618" s="5">
        <v>2</v>
      </c>
      <c r="I2618" s="6" t="s">
        <v>6994</v>
      </c>
      <c r="J2618" s="5">
        <v>520</v>
      </c>
    </row>
    <row r="2619" s="2" customFormat="1" spans="1:10">
      <c r="A2619" s="6">
        <f>2617</f>
        <v>2617</v>
      </c>
      <c r="B2619" s="6" t="s">
        <v>6995</v>
      </c>
      <c r="C2619" s="6" t="s">
        <v>12</v>
      </c>
      <c r="D2619" s="6" t="s">
        <v>6677</v>
      </c>
      <c r="E2619" s="6" t="s">
        <v>6943</v>
      </c>
      <c r="F2619" s="6" t="s">
        <v>6996</v>
      </c>
      <c r="G2619" s="6" t="s">
        <v>16</v>
      </c>
      <c r="H2619" s="5">
        <v>1</v>
      </c>
      <c r="I2619" s="6" t="s">
        <v>6996</v>
      </c>
      <c r="J2619" s="5">
        <v>335</v>
      </c>
    </row>
    <row r="2620" s="2" customFormat="1" spans="1:10">
      <c r="A2620" s="6">
        <f>2618</f>
        <v>2618</v>
      </c>
      <c r="B2620" s="6" t="s">
        <v>6997</v>
      </c>
      <c r="C2620" s="6" t="s">
        <v>12</v>
      </c>
      <c r="D2620" s="6" t="s">
        <v>6677</v>
      </c>
      <c r="E2620" s="6" t="s">
        <v>6943</v>
      </c>
      <c r="F2620" s="6" t="s">
        <v>6998</v>
      </c>
      <c r="G2620" s="6" t="s">
        <v>16</v>
      </c>
      <c r="H2620" s="5">
        <v>3</v>
      </c>
      <c r="I2620" s="6" t="s">
        <v>6999</v>
      </c>
      <c r="J2620" s="5">
        <v>510</v>
      </c>
    </row>
    <row r="2621" s="2" customFormat="1" spans="1:10">
      <c r="A2621" s="6">
        <f>2619</f>
        <v>2619</v>
      </c>
      <c r="B2621" s="6" t="s">
        <v>7000</v>
      </c>
      <c r="C2621" s="6" t="s">
        <v>12</v>
      </c>
      <c r="D2621" s="6" t="s">
        <v>6677</v>
      </c>
      <c r="E2621" s="6" t="s">
        <v>6943</v>
      </c>
      <c r="F2621" s="6" t="s">
        <v>7001</v>
      </c>
      <c r="G2621" s="6" t="s">
        <v>16</v>
      </c>
      <c r="H2621" s="5">
        <v>1</v>
      </c>
      <c r="I2621" s="6" t="s">
        <v>7001</v>
      </c>
      <c r="J2621" s="5">
        <v>255</v>
      </c>
    </row>
    <row r="2622" s="2" customFormat="1" spans="1:10">
      <c r="A2622" s="6">
        <f>2620</f>
        <v>2620</v>
      </c>
      <c r="B2622" s="6" t="s">
        <v>7002</v>
      </c>
      <c r="C2622" s="6" t="s">
        <v>12</v>
      </c>
      <c r="D2622" s="6" t="s">
        <v>6677</v>
      </c>
      <c r="E2622" s="6" t="s">
        <v>6943</v>
      </c>
      <c r="F2622" s="6" t="s">
        <v>7003</v>
      </c>
      <c r="G2622" s="6" t="s">
        <v>16</v>
      </c>
      <c r="H2622" s="5">
        <v>1</v>
      </c>
      <c r="I2622" s="6" t="s">
        <v>7003</v>
      </c>
      <c r="J2622" s="5">
        <v>500</v>
      </c>
    </row>
    <row r="2623" s="2" customFormat="1" spans="1:10">
      <c r="A2623" s="6">
        <f>2621</f>
        <v>2621</v>
      </c>
      <c r="B2623" s="6" t="s">
        <v>7004</v>
      </c>
      <c r="C2623" s="6" t="s">
        <v>12</v>
      </c>
      <c r="D2623" s="6" t="s">
        <v>6677</v>
      </c>
      <c r="E2623" s="6" t="s">
        <v>6943</v>
      </c>
      <c r="F2623" s="6" t="s">
        <v>7005</v>
      </c>
      <c r="G2623" s="6" t="s">
        <v>16</v>
      </c>
      <c r="H2623" s="5">
        <v>1</v>
      </c>
      <c r="I2623" s="6" t="s">
        <v>7005</v>
      </c>
      <c r="J2623" s="5">
        <v>290</v>
      </c>
    </row>
    <row r="2624" s="2" customFormat="1" spans="1:10">
      <c r="A2624" s="6">
        <f>2622</f>
        <v>2622</v>
      </c>
      <c r="B2624" s="6" t="s">
        <v>7006</v>
      </c>
      <c r="C2624" s="6" t="s">
        <v>12</v>
      </c>
      <c r="D2624" s="6" t="s">
        <v>6677</v>
      </c>
      <c r="E2624" s="6" t="s">
        <v>6943</v>
      </c>
      <c r="F2624" s="6" t="s">
        <v>7007</v>
      </c>
      <c r="G2624" s="6" t="s">
        <v>16</v>
      </c>
      <c r="H2624" s="5">
        <v>1</v>
      </c>
      <c r="I2624" s="6" t="s">
        <v>7007</v>
      </c>
      <c r="J2624" s="5">
        <v>245</v>
      </c>
    </row>
    <row r="2625" s="2" customFormat="1" spans="1:10">
      <c r="A2625" s="6">
        <f>2623</f>
        <v>2623</v>
      </c>
      <c r="B2625" s="6" t="s">
        <v>7008</v>
      </c>
      <c r="C2625" s="6" t="s">
        <v>12</v>
      </c>
      <c r="D2625" s="6" t="s">
        <v>6677</v>
      </c>
      <c r="E2625" s="6" t="s">
        <v>6943</v>
      </c>
      <c r="F2625" s="6" t="s">
        <v>7009</v>
      </c>
      <c r="G2625" s="6" t="s">
        <v>16</v>
      </c>
      <c r="H2625" s="5">
        <v>3</v>
      </c>
      <c r="I2625" s="6" t="s">
        <v>7010</v>
      </c>
      <c r="J2625" s="5">
        <v>385</v>
      </c>
    </row>
    <row r="2626" s="2" customFormat="1" spans="1:10">
      <c r="A2626" s="6">
        <f>2624</f>
        <v>2624</v>
      </c>
      <c r="B2626" s="6" t="s">
        <v>7011</v>
      </c>
      <c r="C2626" s="6" t="s">
        <v>12</v>
      </c>
      <c r="D2626" s="6" t="s">
        <v>6677</v>
      </c>
      <c r="E2626" s="6" t="s">
        <v>6943</v>
      </c>
      <c r="F2626" s="6" t="s">
        <v>7012</v>
      </c>
      <c r="G2626" s="6" t="s">
        <v>16</v>
      </c>
      <c r="H2626" s="5">
        <v>2</v>
      </c>
      <c r="I2626" s="6" t="s">
        <v>7013</v>
      </c>
      <c r="J2626" s="5">
        <v>520</v>
      </c>
    </row>
    <row r="2627" s="2" customFormat="1" spans="1:10">
      <c r="A2627" s="6">
        <f>2625</f>
        <v>2625</v>
      </c>
      <c r="B2627" s="6" t="s">
        <v>7014</v>
      </c>
      <c r="C2627" s="6" t="s">
        <v>12</v>
      </c>
      <c r="D2627" s="6" t="s">
        <v>6677</v>
      </c>
      <c r="E2627" s="6" t="s">
        <v>6943</v>
      </c>
      <c r="F2627" s="6" t="s">
        <v>7015</v>
      </c>
      <c r="G2627" s="6" t="s">
        <v>16</v>
      </c>
      <c r="H2627" s="5">
        <v>3</v>
      </c>
      <c r="I2627" s="6" t="s">
        <v>7016</v>
      </c>
      <c r="J2627" s="5">
        <v>425</v>
      </c>
    </row>
    <row r="2628" s="2" customFormat="1" spans="1:10">
      <c r="A2628" s="6">
        <f>2626</f>
        <v>2626</v>
      </c>
      <c r="B2628" s="6" t="s">
        <v>7017</v>
      </c>
      <c r="C2628" s="6" t="s">
        <v>12</v>
      </c>
      <c r="D2628" s="6" t="s">
        <v>6677</v>
      </c>
      <c r="E2628" s="6" t="s">
        <v>6943</v>
      </c>
      <c r="F2628" s="6" t="s">
        <v>7018</v>
      </c>
      <c r="G2628" s="6" t="s">
        <v>16</v>
      </c>
      <c r="H2628" s="5">
        <v>1</v>
      </c>
      <c r="I2628" s="6" t="s">
        <v>7018</v>
      </c>
      <c r="J2628" s="5">
        <v>340</v>
      </c>
    </row>
    <row r="2629" s="2" customFormat="1" spans="1:10">
      <c r="A2629" s="6">
        <f>2627</f>
        <v>2627</v>
      </c>
      <c r="B2629" s="6" t="s">
        <v>7019</v>
      </c>
      <c r="C2629" s="6" t="s">
        <v>12</v>
      </c>
      <c r="D2629" s="6" t="s">
        <v>6677</v>
      </c>
      <c r="E2629" s="6" t="s">
        <v>6943</v>
      </c>
      <c r="F2629" s="6" t="s">
        <v>7020</v>
      </c>
      <c r="G2629" s="6" t="s">
        <v>16</v>
      </c>
      <c r="H2629" s="5">
        <v>1</v>
      </c>
      <c r="I2629" s="6" t="s">
        <v>7020</v>
      </c>
      <c r="J2629" s="5">
        <v>540</v>
      </c>
    </row>
    <row r="2630" s="2" customFormat="1" spans="1:10">
      <c r="A2630" s="6">
        <f>2628</f>
        <v>2628</v>
      </c>
      <c r="B2630" s="6" t="s">
        <v>7021</v>
      </c>
      <c r="C2630" s="6" t="s">
        <v>12</v>
      </c>
      <c r="D2630" s="6" t="s">
        <v>6677</v>
      </c>
      <c r="E2630" s="6" t="s">
        <v>6943</v>
      </c>
      <c r="F2630" s="6" t="s">
        <v>7022</v>
      </c>
      <c r="G2630" s="6" t="s">
        <v>16</v>
      </c>
      <c r="H2630" s="5">
        <v>1</v>
      </c>
      <c r="I2630" s="6" t="s">
        <v>7022</v>
      </c>
      <c r="J2630" s="5">
        <v>400</v>
      </c>
    </row>
    <row r="2631" s="2" customFormat="1" spans="1:10">
      <c r="A2631" s="6">
        <f>2629</f>
        <v>2629</v>
      </c>
      <c r="B2631" s="6" t="s">
        <v>7023</v>
      </c>
      <c r="C2631" s="6" t="s">
        <v>12</v>
      </c>
      <c r="D2631" s="6" t="s">
        <v>6677</v>
      </c>
      <c r="E2631" s="6" t="s">
        <v>6943</v>
      </c>
      <c r="F2631" s="6" t="s">
        <v>7024</v>
      </c>
      <c r="G2631" s="6" t="s">
        <v>16</v>
      </c>
      <c r="H2631" s="5">
        <v>1</v>
      </c>
      <c r="I2631" s="6" t="s">
        <v>7024</v>
      </c>
      <c r="J2631" s="5">
        <v>290</v>
      </c>
    </row>
    <row r="2632" s="2" customFormat="1" spans="1:10">
      <c r="A2632" s="6">
        <f>2630</f>
        <v>2630</v>
      </c>
      <c r="B2632" s="6" t="s">
        <v>7025</v>
      </c>
      <c r="C2632" s="6" t="s">
        <v>12</v>
      </c>
      <c r="D2632" s="6" t="s">
        <v>6677</v>
      </c>
      <c r="E2632" s="6" t="s">
        <v>6943</v>
      </c>
      <c r="F2632" s="6" t="s">
        <v>7026</v>
      </c>
      <c r="G2632" s="6" t="s">
        <v>16</v>
      </c>
      <c r="H2632" s="5">
        <v>3</v>
      </c>
      <c r="I2632" s="6" t="s">
        <v>7027</v>
      </c>
      <c r="J2632" s="5">
        <v>720</v>
      </c>
    </row>
    <row r="2633" s="2" customFormat="1" spans="1:10">
      <c r="A2633" s="6">
        <f>2631</f>
        <v>2631</v>
      </c>
      <c r="B2633" s="6" t="s">
        <v>7028</v>
      </c>
      <c r="C2633" s="6" t="s">
        <v>12</v>
      </c>
      <c r="D2633" s="6" t="s">
        <v>6677</v>
      </c>
      <c r="E2633" s="6" t="s">
        <v>6943</v>
      </c>
      <c r="F2633" s="6" t="s">
        <v>7029</v>
      </c>
      <c r="G2633" s="6" t="s">
        <v>16</v>
      </c>
      <c r="H2633" s="5">
        <v>1</v>
      </c>
      <c r="I2633" s="6" t="s">
        <v>7029</v>
      </c>
      <c r="J2633" s="5">
        <v>460</v>
      </c>
    </row>
    <row r="2634" s="2" customFormat="1" spans="1:10">
      <c r="A2634" s="6">
        <f>2632</f>
        <v>2632</v>
      </c>
      <c r="B2634" s="6" t="s">
        <v>7030</v>
      </c>
      <c r="C2634" s="6" t="s">
        <v>12</v>
      </c>
      <c r="D2634" s="6" t="s">
        <v>6677</v>
      </c>
      <c r="E2634" s="6" t="s">
        <v>6943</v>
      </c>
      <c r="F2634" s="6" t="s">
        <v>7031</v>
      </c>
      <c r="G2634" s="6" t="s">
        <v>16</v>
      </c>
      <c r="H2634" s="5">
        <v>1</v>
      </c>
      <c r="I2634" s="6" t="s">
        <v>7031</v>
      </c>
      <c r="J2634" s="5">
        <v>340</v>
      </c>
    </row>
    <row r="2635" s="2" customFormat="1" spans="1:10">
      <c r="A2635" s="6">
        <f>2633</f>
        <v>2633</v>
      </c>
      <c r="B2635" s="6" t="s">
        <v>7032</v>
      </c>
      <c r="C2635" s="6" t="s">
        <v>12</v>
      </c>
      <c r="D2635" s="6" t="s">
        <v>6677</v>
      </c>
      <c r="E2635" s="6" t="s">
        <v>6943</v>
      </c>
      <c r="F2635" s="6" t="s">
        <v>7033</v>
      </c>
      <c r="G2635" s="6" t="s">
        <v>16</v>
      </c>
      <c r="H2635" s="5">
        <v>1</v>
      </c>
      <c r="I2635" s="6" t="s">
        <v>7033</v>
      </c>
      <c r="J2635" s="5">
        <v>290</v>
      </c>
    </row>
    <row r="2636" s="2" customFormat="1" spans="1:10">
      <c r="A2636" s="6">
        <f>2634</f>
        <v>2634</v>
      </c>
      <c r="B2636" s="6" t="s">
        <v>7034</v>
      </c>
      <c r="C2636" s="6" t="s">
        <v>12</v>
      </c>
      <c r="D2636" s="6" t="s">
        <v>6677</v>
      </c>
      <c r="E2636" s="6" t="s">
        <v>6943</v>
      </c>
      <c r="F2636" s="6" t="s">
        <v>7035</v>
      </c>
      <c r="G2636" s="6" t="s">
        <v>16</v>
      </c>
      <c r="H2636" s="5">
        <v>1</v>
      </c>
      <c r="I2636" s="6" t="s">
        <v>7035</v>
      </c>
      <c r="J2636" s="5">
        <v>500</v>
      </c>
    </row>
    <row r="2637" s="2" customFormat="1" spans="1:10">
      <c r="A2637" s="6">
        <f>2635</f>
        <v>2635</v>
      </c>
      <c r="B2637" s="6" t="s">
        <v>7036</v>
      </c>
      <c r="C2637" s="6" t="s">
        <v>12</v>
      </c>
      <c r="D2637" s="6" t="s">
        <v>6677</v>
      </c>
      <c r="E2637" s="6" t="s">
        <v>6943</v>
      </c>
      <c r="F2637" s="6" t="s">
        <v>7037</v>
      </c>
      <c r="G2637" s="6" t="s">
        <v>16</v>
      </c>
      <c r="H2637" s="5">
        <v>1</v>
      </c>
      <c r="I2637" s="6" t="s">
        <v>7037</v>
      </c>
      <c r="J2637" s="5">
        <v>260</v>
      </c>
    </row>
    <row r="2638" s="2" customFormat="1" spans="1:10">
      <c r="A2638" s="6">
        <f>2636</f>
        <v>2636</v>
      </c>
      <c r="B2638" s="6" t="s">
        <v>7038</v>
      </c>
      <c r="C2638" s="6" t="s">
        <v>12</v>
      </c>
      <c r="D2638" s="6" t="s">
        <v>6677</v>
      </c>
      <c r="E2638" s="6" t="s">
        <v>6943</v>
      </c>
      <c r="F2638" s="6" t="s">
        <v>7039</v>
      </c>
      <c r="G2638" s="6" t="s">
        <v>16</v>
      </c>
      <c r="H2638" s="5">
        <v>1</v>
      </c>
      <c r="I2638" s="6" t="s">
        <v>7039</v>
      </c>
      <c r="J2638" s="5">
        <v>440</v>
      </c>
    </row>
    <row r="2639" s="2" customFormat="1" spans="1:10">
      <c r="A2639" s="6">
        <f>2637</f>
        <v>2637</v>
      </c>
      <c r="B2639" s="6" t="s">
        <v>7040</v>
      </c>
      <c r="C2639" s="6" t="s">
        <v>12</v>
      </c>
      <c r="D2639" s="6" t="s">
        <v>6677</v>
      </c>
      <c r="E2639" s="6" t="s">
        <v>6943</v>
      </c>
      <c r="F2639" s="6" t="s">
        <v>7041</v>
      </c>
      <c r="G2639" s="6" t="s">
        <v>16</v>
      </c>
      <c r="H2639" s="5">
        <v>1</v>
      </c>
      <c r="I2639" s="6" t="s">
        <v>7041</v>
      </c>
      <c r="J2639" s="5">
        <v>440</v>
      </c>
    </row>
    <row r="2640" s="2" customFormat="1" spans="1:10">
      <c r="A2640" s="6">
        <f>2638</f>
        <v>2638</v>
      </c>
      <c r="B2640" s="6" t="s">
        <v>7042</v>
      </c>
      <c r="C2640" s="6" t="s">
        <v>12</v>
      </c>
      <c r="D2640" s="6" t="s">
        <v>6677</v>
      </c>
      <c r="E2640" s="6" t="s">
        <v>6943</v>
      </c>
      <c r="F2640" s="6" t="s">
        <v>7043</v>
      </c>
      <c r="G2640" s="6" t="s">
        <v>16</v>
      </c>
      <c r="H2640" s="5">
        <v>1</v>
      </c>
      <c r="I2640" s="6" t="s">
        <v>7043</v>
      </c>
      <c r="J2640" s="5">
        <v>540</v>
      </c>
    </row>
    <row r="2641" s="2" customFormat="1" spans="1:10">
      <c r="A2641" s="6">
        <f>2639</f>
        <v>2639</v>
      </c>
      <c r="B2641" s="6" t="s">
        <v>7044</v>
      </c>
      <c r="C2641" s="6" t="s">
        <v>12</v>
      </c>
      <c r="D2641" s="6" t="s">
        <v>6677</v>
      </c>
      <c r="E2641" s="6" t="s">
        <v>6943</v>
      </c>
      <c r="F2641" s="6" t="s">
        <v>7045</v>
      </c>
      <c r="G2641" s="6" t="s">
        <v>16</v>
      </c>
      <c r="H2641" s="5">
        <v>1</v>
      </c>
      <c r="I2641" s="6" t="s">
        <v>7045</v>
      </c>
      <c r="J2641" s="5">
        <v>440</v>
      </c>
    </row>
    <row r="2642" s="2" customFormat="1" spans="1:10">
      <c r="A2642" s="6">
        <f>2640</f>
        <v>2640</v>
      </c>
      <c r="B2642" s="6" t="s">
        <v>7046</v>
      </c>
      <c r="C2642" s="6" t="s">
        <v>12</v>
      </c>
      <c r="D2642" s="6" t="s">
        <v>6677</v>
      </c>
      <c r="E2642" s="6" t="s">
        <v>6943</v>
      </c>
      <c r="F2642" s="6" t="s">
        <v>6836</v>
      </c>
      <c r="G2642" s="6" t="s">
        <v>16</v>
      </c>
      <c r="H2642" s="5">
        <v>1</v>
      </c>
      <c r="I2642" s="6" t="s">
        <v>6836</v>
      </c>
      <c r="J2642" s="5">
        <v>335</v>
      </c>
    </row>
    <row r="2643" s="2" customFormat="1" spans="1:10">
      <c r="A2643" s="6">
        <f>2641</f>
        <v>2641</v>
      </c>
      <c r="B2643" s="6" t="s">
        <v>7047</v>
      </c>
      <c r="C2643" s="6" t="s">
        <v>12</v>
      </c>
      <c r="D2643" s="6" t="s">
        <v>6677</v>
      </c>
      <c r="E2643" s="6" t="s">
        <v>6943</v>
      </c>
      <c r="F2643" s="6" t="s">
        <v>7048</v>
      </c>
      <c r="G2643" s="6" t="s">
        <v>16</v>
      </c>
      <c r="H2643" s="5">
        <v>3</v>
      </c>
      <c r="I2643" s="6" t="s">
        <v>7049</v>
      </c>
      <c r="J2643" s="5">
        <v>780</v>
      </c>
    </row>
    <row r="2644" s="2" customFormat="1" spans="1:10">
      <c r="A2644" s="6">
        <f>2642</f>
        <v>2642</v>
      </c>
      <c r="B2644" s="6" t="s">
        <v>7050</v>
      </c>
      <c r="C2644" s="6" t="s">
        <v>12</v>
      </c>
      <c r="D2644" s="6" t="s">
        <v>6677</v>
      </c>
      <c r="E2644" s="6" t="s">
        <v>7051</v>
      </c>
      <c r="F2644" s="6" t="s">
        <v>7052</v>
      </c>
      <c r="G2644" s="6" t="s">
        <v>16</v>
      </c>
      <c r="H2644" s="5">
        <v>1</v>
      </c>
      <c r="I2644" s="6" t="s">
        <v>7052</v>
      </c>
      <c r="J2644" s="5">
        <v>440</v>
      </c>
    </row>
    <row r="2645" s="2" customFormat="1" spans="1:10">
      <c r="A2645" s="6">
        <f>2643</f>
        <v>2643</v>
      </c>
      <c r="B2645" s="6" t="s">
        <v>7053</v>
      </c>
      <c r="C2645" s="6" t="s">
        <v>12</v>
      </c>
      <c r="D2645" s="6" t="s">
        <v>6677</v>
      </c>
      <c r="E2645" s="6" t="s">
        <v>7051</v>
      </c>
      <c r="F2645" s="6" t="s">
        <v>7054</v>
      </c>
      <c r="G2645" s="6" t="s">
        <v>16</v>
      </c>
      <c r="H2645" s="5">
        <v>1</v>
      </c>
      <c r="I2645" s="6" t="s">
        <v>7054</v>
      </c>
      <c r="J2645" s="5">
        <v>260</v>
      </c>
    </row>
    <row r="2646" s="2" customFormat="1" spans="1:10">
      <c r="A2646" s="6">
        <f>2644</f>
        <v>2644</v>
      </c>
      <c r="B2646" s="6" t="s">
        <v>7055</v>
      </c>
      <c r="C2646" s="6" t="s">
        <v>12</v>
      </c>
      <c r="D2646" s="6" t="s">
        <v>6677</v>
      </c>
      <c r="E2646" s="6" t="s">
        <v>7051</v>
      </c>
      <c r="F2646" s="6" t="s">
        <v>7056</v>
      </c>
      <c r="G2646" s="6" t="s">
        <v>16</v>
      </c>
      <c r="H2646" s="5">
        <v>1</v>
      </c>
      <c r="I2646" s="6" t="s">
        <v>7056</v>
      </c>
      <c r="J2646" s="5">
        <v>600</v>
      </c>
    </row>
    <row r="2647" s="2" customFormat="1" spans="1:10">
      <c r="A2647" s="6">
        <f>2645</f>
        <v>2645</v>
      </c>
      <c r="B2647" s="6" t="s">
        <v>7057</v>
      </c>
      <c r="C2647" s="6" t="s">
        <v>12</v>
      </c>
      <c r="D2647" s="6" t="s">
        <v>6677</v>
      </c>
      <c r="E2647" s="6" t="s">
        <v>7051</v>
      </c>
      <c r="F2647" s="6" t="s">
        <v>7058</v>
      </c>
      <c r="G2647" s="6" t="s">
        <v>16</v>
      </c>
      <c r="H2647" s="5">
        <v>2</v>
      </c>
      <c r="I2647" s="6" t="s">
        <v>7059</v>
      </c>
      <c r="J2647" s="5">
        <v>820</v>
      </c>
    </row>
    <row r="2648" s="2" customFormat="1" spans="1:10">
      <c r="A2648" s="6">
        <f>2646</f>
        <v>2646</v>
      </c>
      <c r="B2648" s="6" t="s">
        <v>7060</v>
      </c>
      <c r="C2648" s="6" t="s">
        <v>12</v>
      </c>
      <c r="D2648" s="6" t="s">
        <v>6677</v>
      </c>
      <c r="E2648" s="6" t="s">
        <v>7051</v>
      </c>
      <c r="F2648" s="6" t="s">
        <v>7061</v>
      </c>
      <c r="G2648" s="6" t="s">
        <v>16</v>
      </c>
      <c r="H2648" s="5">
        <v>1</v>
      </c>
      <c r="I2648" s="6" t="s">
        <v>7061</v>
      </c>
      <c r="J2648" s="5">
        <v>540</v>
      </c>
    </row>
    <row r="2649" s="2" customFormat="1" spans="1:10">
      <c r="A2649" s="6">
        <f>2647</f>
        <v>2647</v>
      </c>
      <c r="B2649" s="6" t="s">
        <v>7062</v>
      </c>
      <c r="C2649" s="6" t="s">
        <v>12</v>
      </c>
      <c r="D2649" s="6" t="s">
        <v>6677</v>
      </c>
      <c r="E2649" s="6" t="s">
        <v>7051</v>
      </c>
      <c r="F2649" s="6" t="s">
        <v>7063</v>
      </c>
      <c r="G2649" s="6" t="s">
        <v>16</v>
      </c>
      <c r="H2649" s="5">
        <v>1</v>
      </c>
      <c r="I2649" s="6" t="s">
        <v>7063</v>
      </c>
      <c r="J2649" s="5">
        <v>540</v>
      </c>
    </row>
    <row r="2650" s="2" customFormat="1" spans="1:10">
      <c r="A2650" s="6">
        <f>2648</f>
        <v>2648</v>
      </c>
      <c r="B2650" s="6" t="s">
        <v>7064</v>
      </c>
      <c r="C2650" s="6" t="s">
        <v>12</v>
      </c>
      <c r="D2650" s="6" t="s">
        <v>6677</v>
      </c>
      <c r="E2650" s="6" t="s">
        <v>7051</v>
      </c>
      <c r="F2650" s="6" t="s">
        <v>7065</v>
      </c>
      <c r="G2650" s="6" t="s">
        <v>16</v>
      </c>
      <c r="H2650" s="5">
        <v>1</v>
      </c>
      <c r="I2650" s="6" t="s">
        <v>7065</v>
      </c>
      <c r="J2650" s="5">
        <v>390</v>
      </c>
    </row>
    <row r="2651" s="2" customFormat="1" spans="1:10">
      <c r="A2651" s="6">
        <f>2649</f>
        <v>2649</v>
      </c>
      <c r="B2651" s="6" t="s">
        <v>7066</v>
      </c>
      <c r="C2651" s="6" t="s">
        <v>12</v>
      </c>
      <c r="D2651" s="6" t="s">
        <v>6677</v>
      </c>
      <c r="E2651" s="6" t="s">
        <v>7051</v>
      </c>
      <c r="F2651" s="6" t="s">
        <v>7067</v>
      </c>
      <c r="G2651" s="6" t="s">
        <v>16</v>
      </c>
      <c r="H2651" s="5">
        <v>1</v>
      </c>
      <c r="I2651" s="6" t="s">
        <v>7067</v>
      </c>
      <c r="J2651" s="5">
        <v>340</v>
      </c>
    </row>
    <row r="2652" s="2" customFormat="1" spans="1:10">
      <c r="A2652" s="6">
        <f>2650</f>
        <v>2650</v>
      </c>
      <c r="B2652" s="6" t="s">
        <v>7068</v>
      </c>
      <c r="C2652" s="6" t="s">
        <v>12</v>
      </c>
      <c r="D2652" s="6" t="s">
        <v>6677</v>
      </c>
      <c r="E2652" s="6" t="s">
        <v>7051</v>
      </c>
      <c r="F2652" s="6" t="s">
        <v>7069</v>
      </c>
      <c r="G2652" s="6" t="s">
        <v>16</v>
      </c>
      <c r="H2652" s="5">
        <v>1</v>
      </c>
      <c r="I2652" s="6" t="s">
        <v>7069</v>
      </c>
      <c r="J2652" s="5">
        <v>440</v>
      </c>
    </row>
    <row r="2653" s="2" customFormat="1" spans="1:10">
      <c r="A2653" s="6">
        <f>2651</f>
        <v>2651</v>
      </c>
      <c r="B2653" s="6" t="s">
        <v>7070</v>
      </c>
      <c r="C2653" s="6" t="s">
        <v>12</v>
      </c>
      <c r="D2653" s="6" t="s">
        <v>6677</v>
      </c>
      <c r="E2653" s="6" t="s">
        <v>7051</v>
      </c>
      <c r="F2653" s="6" t="s">
        <v>7071</v>
      </c>
      <c r="G2653" s="6" t="s">
        <v>16</v>
      </c>
      <c r="H2653" s="5">
        <v>2</v>
      </c>
      <c r="I2653" s="6" t="s">
        <v>7072</v>
      </c>
      <c r="J2653" s="5">
        <v>880</v>
      </c>
    </row>
    <row r="2654" s="2" customFormat="1" spans="1:10">
      <c r="A2654" s="6">
        <f>2652</f>
        <v>2652</v>
      </c>
      <c r="B2654" s="6" t="s">
        <v>7073</v>
      </c>
      <c r="C2654" s="6" t="s">
        <v>12</v>
      </c>
      <c r="D2654" s="6" t="s">
        <v>6677</v>
      </c>
      <c r="E2654" s="6" t="s">
        <v>7051</v>
      </c>
      <c r="F2654" s="6" t="s">
        <v>7074</v>
      </c>
      <c r="G2654" s="6" t="s">
        <v>16</v>
      </c>
      <c r="H2654" s="5">
        <v>2</v>
      </c>
      <c r="I2654" s="6" t="s">
        <v>7075</v>
      </c>
      <c r="J2654" s="5">
        <v>480</v>
      </c>
    </row>
    <row r="2655" s="2" customFormat="1" spans="1:10">
      <c r="A2655" s="6">
        <f>2653</f>
        <v>2653</v>
      </c>
      <c r="B2655" s="6" t="s">
        <v>7076</v>
      </c>
      <c r="C2655" s="6" t="s">
        <v>12</v>
      </c>
      <c r="D2655" s="6" t="s">
        <v>6677</v>
      </c>
      <c r="E2655" s="6" t="s">
        <v>7051</v>
      </c>
      <c r="F2655" s="6" t="s">
        <v>7077</v>
      </c>
      <c r="G2655" s="6" t="s">
        <v>16</v>
      </c>
      <c r="H2655" s="5">
        <v>1</v>
      </c>
      <c r="I2655" s="6" t="s">
        <v>7077</v>
      </c>
      <c r="J2655" s="5">
        <v>440</v>
      </c>
    </row>
    <row r="2656" s="2" customFormat="1" spans="1:10">
      <c r="A2656" s="6">
        <f>2654</f>
        <v>2654</v>
      </c>
      <c r="B2656" s="6" t="s">
        <v>7078</v>
      </c>
      <c r="C2656" s="6" t="s">
        <v>12</v>
      </c>
      <c r="D2656" s="6" t="s">
        <v>6677</v>
      </c>
      <c r="E2656" s="6" t="s">
        <v>7051</v>
      </c>
      <c r="F2656" s="6" t="s">
        <v>7079</v>
      </c>
      <c r="G2656" s="6" t="s">
        <v>16</v>
      </c>
      <c r="H2656" s="5">
        <v>1</v>
      </c>
      <c r="I2656" s="6" t="s">
        <v>7079</v>
      </c>
      <c r="J2656" s="5">
        <v>440</v>
      </c>
    </row>
    <row r="2657" s="2" customFormat="1" spans="1:10">
      <c r="A2657" s="6">
        <f>2655</f>
        <v>2655</v>
      </c>
      <c r="B2657" s="6" t="s">
        <v>7080</v>
      </c>
      <c r="C2657" s="6" t="s">
        <v>12</v>
      </c>
      <c r="D2657" s="6" t="s">
        <v>6677</v>
      </c>
      <c r="E2657" s="6" t="s">
        <v>7051</v>
      </c>
      <c r="F2657" s="6" t="s">
        <v>7081</v>
      </c>
      <c r="G2657" s="6" t="s">
        <v>16</v>
      </c>
      <c r="H2657" s="5">
        <v>1</v>
      </c>
      <c r="I2657" s="6" t="s">
        <v>7081</v>
      </c>
      <c r="J2657" s="5">
        <v>320</v>
      </c>
    </row>
    <row r="2658" s="2" customFormat="1" spans="1:10">
      <c r="A2658" s="6">
        <f>2656</f>
        <v>2656</v>
      </c>
      <c r="B2658" s="6" t="s">
        <v>7082</v>
      </c>
      <c r="C2658" s="6" t="s">
        <v>12</v>
      </c>
      <c r="D2658" s="6" t="s">
        <v>6677</v>
      </c>
      <c r="E2658" s="6" t="s">
        <v>7051</v>
      </c>
      <c r="F2658" s="6" t="s">
        <v>7083</v>
      </c>
      <c r="G2658" s="6" t="s">
        <v>16</v>
      </c>
      <c r="H2658" s="5">
        <v>3</v>
      </c>
      <c r="I2658" s="6" t="s">
        <v>7084</v>
      </c>
      <c r="J2658" s="5">
        <v>720</v>
      </c>
    </row>
    <row r="2659" s="2" customFormat="1" spans="1:10">
      <c r="A2659" s="6">
        <f>2657</f>
        <v>2657</v>
      </c>
      <c r="B2659" s="6" t="s">
        <v>7085</v>
      </c>
      <c r="C2659" s="6" t="s">
        <v>12</v>
      </c>
      <c r="D2659" s="6" t="s">
        <v>6677</v>
      </c>
      <c r="E2659" s="6" t="s">
        <v>7051</v>
      </c>
      <c r="F2659" s="6" t="s">
        <v>7086</v>
      </c>
      <c r="G2659" s="6" t="s">
        <v>16</v>
      </c>
      <c r="H2659" s="5">
        <v>1</v>
      </c>
      <c r="I2659" s="6" t="s">
        <v>7086</v>
      </c>
      <c r="J2659" s="5">
        <v>440</v>
      </c>
    </row>
    <row r="2660" s="2" customFormat="1" spans="1:10">
      <c r="A2660" s="6">
        <f>2658</f>
        <v>2658</v>
      </c>
      <c r="B2660" s="6" t="s">
        <v>7087</v>
      </c>
      <c r="C2660" s="6" t="s">
        <v>12</v>
      </c>
      <c r="D2660" s="6" t="s">
        <v>6677</v>
      </c>
      <c r="E2660" s="6" t="s">
        <v>7051</v>
      </c>
      <c r="F2660" s="6" t="s">
        <v>7088</v>
      </c>
      <c r="G2660" s="6" t="s">
        <v>16</v>
      </c>
      <c r="H2660" s="5">
        <v>3</v>
      </c>
      <c r="I2660" s="6" t="s">
        <v>7089</v>
      </c>
      <c r="J2660" s="5">
        <v>540</v>
      </c>
    </row>
    <row r="2661" s="2" customFormat="1" spans="1:10">
      <c r="A2661" s="6">
        <f>2659</f>
        <v>2659</v>
      </c>
      <c r="B2661" s="6" t="s">
        <v>7090</v>
      </c>
      <c r="C2661" s="6" t="s">
        <v>12</v>
      </c>
      <c r="D2661" s="6" t="s">
        <v>6677</v>
      </c>
      <c r="E2661" s="6" t="s">
        <v>7051</v>
      </c>
      <c r="F2661" s="6" t="s">
        <v>7091</v>
      </c>
      <c r="G2661" s="6" t="s">
        <v>16</v>
      </c>
      <c r="H2661" s="5">
        <v>1</v>
      </c>
      <c r="I2661" s="6" t="s">
        <v>7091</v>
      </c>
      <c r="J2661" s="5">
        <v>490</v>
      </c>
    </row>
    <row r="2662" s="2" customFormat="1" spans="1:10">
      <c r="A2662" s="6">
        <f>2660</f>
        <v>2660</v>
      </c>
      <c r="B2662" s="6" t="s">
        <v>7092</v>
      </c>
      <c r="C2662" s="6" t="s">
        <v>12</v>
      </c>
      <c r="D2662" s="6" t="s">
        <v>6677</v>
      </c>
      <c r="E2662" s="6" t="s">
        <v>7051</v>
      </c>
      <c r="F2662" s="6" t="s">
        <v>7093</v>
      </c>
      <c r="G2662" s="6" t="s">
        <v>16</v>
      </c>
      <c r="H2662" s="5">
        <v>1</v>
      </c>
      <c r="I2662" s="6" t="s">
        <v>7093</v>
      </c>
      <c r="J2662" s="5">
        <v>440</v>
      </c>
    </row>
    <row r="2663" s="2" customFormat="1" spans="1:10">
      <c r="A2663" s="6">
        <f>2661</f>
        <v>2661</v>
      </c>
      <c r="B2663" s="6" t="s">
        <v>7094</v>
      </c>
      <c r="C2663" s="6" t="s">
        <v>12</v>
      </c>
      <c r="D2663" s="6" t="s">
        <v>6677</v>
      </c>
      <c r="E2663" s="6" t="s">
        <v>7051</v>
      </c>
      <c r="F2663" s="6" t="s">
        <v>7024</v>
      </c>
      <c r="G2663" s="6" t="s">
        <v>16</v>
      </c>
      <c r="H2663" s="5">
        <v>2</v>
      </c>
      <c r="I2663" s="6" t="s">
        <v>7095</v>
      </c>
      <c r="J2663" s="5">
        <v>900</v>
      </c>
    </row>
    <row r="2664" s="2" customFormat="1" spans="1:10">
      <c r="A2664" s="6">
        <f>2662</f>
        <v>2662</v>
      </c>
      <c r="B2664" s="6" t="s">
        <v>7096</v>
      </c>
      <c r="C2664" s="6" t="s">
        <v>12</v>
      </c>
      <c r="D2664" s="6" t="s">
        <v>6677</v>
      </c>
      <c r="E2664" s="6" t="s">
        <v>7097</v>
      </c>
      <c r="F2664" s="6" t="s">
        <v>7098</v>
      </c>
      <c r="G2664" s="6" t="s">
        <v>16</v>
      </c>
      <c r="H2664" s="5">
        <v>2</v>
      </c>
      <c r="I2664" s="6" t="s">
        <v>7099</v>
      </c>
      <c r="J2664" s="5">
        <v>684</v>
      </c>
    </row>
    <row r="2665" s="2" customFormat="1" spans="1:10">
      <c r="A2665" s="6">
        <f>2663</f>
        <v>2663</v>
      </c>
      <c r="B2665" s="6" t="s">
        <v>7100</v>
      </c>
      <c r="C2665" s="6" t="s">
        <v>12</v>
      </c>
      <c r="D2665" s="6" t="s">
        <v>6677</v>
      </c>
      <c r="E2665" s="6" t="s">
        <v>7097</v>
      </c>
      <c r="F2665" s="6" t="s">
        <v>7101</v>
      </c>
      <c r="G2665" s="6" t="s">
        <v>16</v>
      </c>
      <c r="H2665" s="5">
        <v>3</v>
      </c>
      <c r="I2665" s="6" t="s">
        <v>7102</v>
      </c>
      <c r="J2665" s="5">
        <v>1320</v>
      </c>
    </row>
    <row r="2666" s="2" customFormat="1" ht="27" spans="1:10">
      <c r="A2666" s="6">
        <f>2664</f>
        <v>2664</v>
      </c>
      <c r="B2666" s="6" t="s">
        <v>7103</v>
      </c>
      <c r="C2666" s="6" t="s">
        <v>12</v>
      </c>
      <c r="D2666" s="6" t="s">
        <v>6677</v>
      </c>
      <c r="E2666" s="6" t="s">
        <v>7097</v>
      </c>
      <c r="F2666" s="6" t="s">
        <v>7104</v>
      </c>
      <c r="G2666" s="6" t="s">
        <v>16</v>
      </c>
      <c r="H2666" s="5">
        <v>6</v>
      </c>
      <c r="I2666" s="6" t="s">
        <v>7105</v>
      </c>
      <c r="J2666" s="5">
        <v>2040</v>
      </c>
    </row>
    <row r="2667" s="2" customFormat="1" spans="1:10">
      <c r="A2667" s="6">
        <f>2665</f>
        <v>2665</v>
      </c>
      <c r="B2667" s="6" t="s">
        <v>7106</v>
      </c>
      <c r="C2667" s="6" t="s">
        <v>12</v>
      </c>
      <c r="D2667" s="6" t="s">
        <v>6677</v>
      </c>
      <c r="E2667" s="6" t="s">
        <v>7097</v>
      </c>
      <c r="F2667" s="6" t="s">
        <v>7107</v>
      </c>
      <c r="G2667" s="6" t="s">
        <v>16</v>
      </c>
      <c r="H2667" s="5">
        <v>3</v>
      </c>
      <c r="I2667" s="6" t="s">
        <v>7108</v>
      </c>
      <c r="J2667" s="5">
        <v>750</v>
      </c>
    </row>
    <row r="2668" s="2" customFormat="1" spans="1:10">
      <c r="A2668" s="6">
        <f>2666</f>
        <v>2666</v>
      </c>
      <c r="B2668" s="6" t="s">
        <v>7109</v>
      </c>
      <c r="C2668" s="6" t="s">
        <v>12</v>
      </c>
      <c r="D2668" s="6" t="s">
        <v>6677</v>
      </c>
      <c r="E2668" s="6" t="s">
        <v>7097</v>
      </c>
      <c r="F2668" s="6" t="s">
        <v>7110</v>
      </c>
      <c r="G2668" s="6" t="s">
        <v>16</v>
      </c>
      <c r="H2668" s="5">
        <v>3</v>
      </c>
      <c r="I2668" s="6" t="s">
        <v>7111</v>
      </c>
      <c r="J2668" s="5">
        <v>1320</v>
      </c>
    </row>
    <row r="2669" s="2" customFormat="1" spans="1:10">
      <c r="A2669" s="6">
        <f>2667</f>
        <v>2667</v>
      </c>
      <c r="B2669" s="6" t="s">
        <v>7112</v>
      </c>
      <c r="C2669" s="6" t="s">
        <v>12</v>
      </c>
      <c r="D2669" s="6" t="s">
        <v>6677</v>
      </c>
      <c r="E2669" s="6" t="s">
        <v>7097</v>
      </c>
      <c r="F2669" s="6" t="s">
        <v>7113</v>
      </c>
      <c r="G2669" s="6" t="s">
        <v>16</v>
      </c>
      <c r="H2669" s="5">
        <v>2</v>
      </c>
      <c r="I2669" s="6" t="s">
        <v>7114</v>
      </c>
      <c r="J2669" s="5">
        <v>1080</v>
      </c>
    </row>
    <row r="2670" s="2" customFormat="1" spans="1:10">
      <c r="A2670" s="6">
        <f>2668</f>
        <v>2668</v>
      </c>
      <c r="B2670" s="6" t="s">
        <v>7115</v>
      </c>
      <c r="C2670" s="6" t="s">
        <v>12</v>
      </c>
      <c r="D2670" s="6" t="s">
        <v>6677</v>
      </c>
      <c r="E2670" s="6" t="s">
        <v>7097</v>
      </c>
      <c r="F2670" s="6" t="s">
        <v>7116</v>
      </c>
      <c r="G2670" s="6" t="s">
        <v>16</v>
      </c>
      <c r="H2670" s="5">
        <v>2</v>
      </c>
      <c r="I2670" s="6" t="s">
        <v>7117</v>
      </c>
      <c r="J2670" s="5">
        <v>880</v>
      </c>
    </row>
    <row r="2671" s="2" customFormat="1" spans="1:10">
      <c r="A2671" s="6">
        <f>2669</f>
        <v>2669</v>
      </c>
      <c r="B2671" s="6" t="s">
        <v>7118</v>
      </c>
      <c r="C2671" s="6" t="s">
        <v>12</v>
      </c>
      <c r="D2671" s="6" t="s">
        <v>6677</v>
      </c>
      <c r="E2671" s="6" t="s">
        <v>7097</v>
      </c>
      <c r="F2671" s="6" t="s">
        <v>7119</v>
      </c>
      <c r="G2671" s="6" t="s">
        <v>16</v>
      </c>
      <c r="H2671" s="5">
        <v>1</v>
      </c>
      <c r="I2671" s="6" t="s">
        <v>7119</v>
      </c>
      <c r="J2671" s="5">
        <v>440</v>
      </c>
    </row>
    <row r="2672" s="2" customFormat="1" spans="1:10">
      <c r="A2672" s="6">
        <f>2670</f>
        <v>2670</v>
      </c>
      <c r="B2672" s="6" t="s">
        <v>7120</v>
      </c>
      <c r="C2672" s="6" t="s">
        <v>12</v>
      </c>
      <c r="D2672" s="6" t="s">
        <v>6677</v>
      </c>
      <c r="E2672" s="6" t="s">
        <v>7097</v>
      </c>
      <c r="F2672" s="6" t="s">
        <v>7121</v>
      </c>
      <c r="G2672" s="6" t="s">
        <v>16</v>
      </c>
      <c r="H2672" s="5">
        <v>2</v>
      </c>
      <c r="I2672" s="6" t="s">
        <v>7122</v>
      </c>
      <c r="J2672" s="5">
        <v>670</v>
      </c>
    </row>
    <row r="2673" s="2" customFormat="1" ht="27" spans="1:10">
      <c r="A2673" s="6">
        <f>2671</f>
        <v>2671</v>
      </c>
      <c r="B2673" s="6" t="s">
        <v>7123</v>
      </c>
      <c r="C2673" s="6" t="s">
        <v>12</v>
      </c>
      <c r="D2673" s="6" t="s">
        <v>6677</v>
      </c>
      <c r="E2673" s="6" t="s">
        <v>7097</v>
      </c>
      <c r="F2673" s="6" t="s">
        <v>7124</v>
      </c>
      <c r="G2673" s="6" t="s">
        <v>16</v>
      </c>
      <c r="H2673" s="5">
        <v>4</v>
      </c>
      <c r="I2673" s="6" t="s">
        <v>7125</v>
      </c>
      <c r="J2673" s="5">
        <v>840</v>
      </c>
    </row>
    <row r="2674" s="2" customFormat="1" spans="1:10">
      <c r="A2674" s="6">
        <f>2672</f>
        <v>2672</v>
      </c>
      <c r="B2674" s="6" t="s">
        <v>7126</v>
      </c>
      <c r="C2674" s="6" t="s">
        <v>12</v>
      </c>
      <c r="D2674" s="6" t="s">
        <v>6677</v>
      </c>
      <c r="E2674" s="6" t="s">
        <v>7097</v>
      </c>
      <c r="F2674" s="6" t="s">
        <v>7127</v>
      </c>
      <c r="G2674" s="6" t="s">
        <v>16</v>
      </c>
      <c r="H2674" s="5">
        <v>1</v>
      </c>
      <c r="I2674" s="6" t="s">
        <v>7127</v>
      </c>
      <c r="J2674" s="5">
        <v>540</v>
      </c>
    </row>
    <row r="2675" s="2" customFormat="1" spans="1:10">
      <c r="A2675" s="6">
        <f>2673</f>
        <v>2673</v>
      </c>
      <c r="B2675" s="6" t="s">
        <v>7128</v>
      </c>
      <c r="C2675" s="6" t="s">
        <v>12</v>
      </c>
      <c r="D2675" s="6" t="s">
        <v>6677</v>
      </c>
      <c r="E2675" s="6" t="s">
        <v>7097</v>
      </c>
      <c r="F2675" s="6" t="s">
        <v>7129</v>
      </c>
      <c r="G2675" s="6" t="s">
        <v>16</v>
      </c>
      <c r="H2675" s="5">
        <v>3</v>
      </c>
      <c r="I2675" s="6" t="s">
        <v>7130</v>
      </c>
      <c r="J2675" s="5">
        <v>1380</v>
      </c>
    </row>
    <row r="2676" s="2" customFormat="1" spans="1:10">
      <c r="A2676" s="6">
        <f>2674</f>
        <v>2674</v>
      </c>
      <c r="B2676" s="6" t="s">
        <v>7131</v>
      </c>
      <c r="C2676" s="6" t="s">
        <v>12</v>
      </c>
      <c r="D2676" s="6" t="s">
        <v>6677</v>
      </c>
      <c r="E2676" s="6" t="s">
        <v>7097</v>
      </c>
      <c r="F2676" s="6" t="s">
        <v>7132</v>
      </c>
      <c r="G2676" s="6" t="s">
        <v>16</v>
      </c>
      <c r="H2676" s="5">
        <v>2</v>
      </c>
      <c r="I2676" s="6" t="s">
        <v>7133</v>
      </c>
      <c r="J2676" s="5">
        <v>1080</v>
      </c>
    </row>
    <row r="2677" s="2" customFormat="1" spans="1:10">
      <c r="A2677" s="6">
        <f>2675</f>
        <v>2675</v>
      </c>
      <c r="B2677" s="6" t="s">
        <v>7134</v>
      </c>
      <c r="C2677" s="6" t="s">
        <v>12</v>
      </c>
      <c r="D2677" s="6" t="s">
        <v>6677</v>
      </c>
      <c r="E2677" s="6" t="s">
        <v>7097</v>
      </c>
      <c r="F2677" s="6" t="s">
        <v>7135</v>
      </c>
      <c r="G2677" s="6" t="s">
        <v>16</v>
      </c>
      <c r="H2677" s="5">
        <v>3</v>
      </c>
      <c r="I2677" s="6" t="s">
        <v>7136</v>
      </c>
      <c r="J2677" s="5">
        <v>690</v>
      </c>
    </row>
    <row r="2678" s="2" customFormat="1" spans="1:10">
      <c r="A2678" s="6">
        <f>2676</f>
        <v>2676</v>
      </c>
      <c r="B2678" s="6" t="s">
        <v>7137</v>
      </c>
      <c r="C2678" s="6" t="s">
        <v>12</v>
      </c>
      <c r="D2678" s="6" t="s">
        <v>6677</v>
      </c>
      <c r="E2678" s="6" t="s">
        <v>7097</v>
      </c>
      <c r="F2678" s="6" t="s">
        <v>7138</v>
      </c>
      <c r="G2678" s="6" t="s">
        <v>16</v>
      </c>
      <c r="H2678" s="5">
        <v>1</v>
      </c>
      <c r="I2678" s="6" t="s">
        <v>7138</v>
      </c>
      <c r="J2678" s="5">
        <v>243</v>
      </c>
    </row>
    <row r="2679" s="2" customFormat="1" spans="1:10">
      <c r="A2679" s="6">
        <f>2677</f>
        <v>2677</v>
      </c>
      <c r="B2679" s="6" t="s">
        <v>7139</v>
      </c>
      <c r="C2679" s="6" t="s">
        <v>12</v>
      </c>
      <c r="D2679" s="6" t="s">
        <v>6677</v>
      </c>
      <c r="E2679" s="6" t="s">
        <v>7097</v>
      </c>
      <c r="F2679" s="6" t="s">
        <v>7140</v>
      </c>
      <c r="G2679" s="6" t="s">
        <v>16</v>
      </c>
      <c r="H2679" s="5">
        <v>2</v>
      </c>
      <c r="I2679" s="6" t="s">
        <v>7141</v>
      </c>
      <c r="J2679" s="5">
        <v>496</v>
      </c>
    </row>
    <row r="2680" s="2" customFormat="1" spans="1:10">
      <c r="A2680" s="6">
        <f>2678</f>
        <v>2678</v>
      </c>
      <c r="B2680" s="6" t="s">
        <v>7142</v>
      </c>
      <c r="C2680" s="6" t="s">
        <v>12</v>
      </c>
      <c r="D2680" s="6" t="s">
        <v>6677</v>
      </c>
      <c r="E2680" s="6" t="s">
        <v>7097</v>
      </c>
      <c r="F2680" s="6" t="s">
        <v>7143</v>
      </c>
      <c r="G2680" s="6" t="s">
        <v>16</v>
      </c>
      <c r="H2680" s="5">
        <v>1</v>
      </c>
      <c r="I2680" s="6" t="s">
        <v>7143</v>
      </c>
      <c r="J2680" s="5">
        <v>263</v>
      </c>
    </row>
    <row r="2681" s="2" customFormat="1" spans="1:10">
      <c r="A2681" s="6">
        <f>2679</f>
        <v>2679</v>
      </c>
      <c r="B2681" s="6" t="s">
        <v>7144</v>
      </c>
      <c r="C2681" s="6" t="s">
        <v>12</v>
      </c>
      <c r="D2681" s="6" t="s">
        <v>6677</v>
      </c>
      <c r="E2681" s="6" t="s">
        <v>7097</v>
      </c>
      <c r="F2681" s="6" t="s">
        <v>7145</v>
      </c>
      <c r="G2681" s="6" t="s">
        <v>16</v>
      </c>
      <c r="H2681" s="5">
        <v>3</v>
      </c>
      <c r="I2681" s="6" t="s">
        <v>7146</v>
      </c>
      <c r="J2681" s="5">
        <v>1000</v>
      </c>
    </row>
    <row r="2682" s="2" customFormat="1" spans="1:10">
      <c r="A2682" s="6">
        <f>2680</f>
        <v>2680</v>
      </c>
      <c r="B2682" s="6" t="s">
        <v>7147</v>
      </c>
      <c r="C2682" s="6" t="s">
        <v>12</v>
      </c>
      <c r="D2682" s="6" t="s">
        <v>6677</v>
      </c>
      <c r="E2682" s="6" t="s">
        <v>7097</v>
      </c>
      <c r="F2682" s="6" t="s">
        <v>7148</v>
      </c>
      <c r="G2682" s="6" t="s">
        <v>16</v>
      </c>
      <c r="H2682" s="5">
        <v>2</v>
      </c>
      <c r="I2682" s="6" t="s">
        <v>7149</v>
      </c>
      <c r="J2682" s="5">
        <v>440</v>
      </c>
    </row>
    <row r="2683" s="2" customFormat="1" ht="27" spans="1:10">
      <c r="A2683" s="6">
        <f>2681</f>
        <v>2681</v>
      </c>
      <c r="B2683" s="6" t="s">
        <v>7150</v>
      </c>
      <c r="C2683" s="6" t="s">
        <v>12</v>
      </c>
      <c r="D2683" s="6" t="s">
        <v>6677</v>
      </c>
      <c r="E2683" s="6" t="s">
        <v>7097</v>
      </c>
      <c r="F2683" s="6" t="s">
        <v>7116</v>
      </c>
      <c r="G2683" s="6" t="s">
        <v>16</v>
      </c>
      <c r="H2683" s="5">
        <v>4</v>
      </c>
      <c r="I2683" s="6" t="s">
        <v>7151</v>
      </c>
      <c r="J2683" s="5">
        <v>960</v>
      </c>
    </row>
    <row r="2684" s="2" customFormat="1" spans="1:10">
      <c r="A2684" s="6">
        <f>2682</f>
        <v>2682</v>
      </c>
      <c r="B2684" s="6" t="s">
        <v>7152</v>
      </c>
      <c r="C2684" s="6" t="s">
        <v>12</v>
      </c>
      <c r="D2684" s="6" t="s">
        <v>6677</v>
      </c>
      <c r="E2684" s="6" t="s">
        <v>7097</v>
      </c>
      <c r="F2684" s="6" t="s">
        <v>7153</v>
      </c>
      <c r="G2684" s="6" t="s">
        <v>16</v>
      </c>
      <c r="H2684" s="5">
        <v>3</v>
      </c>
      <c r="I2684" s="6" t="s">
        <v>7154</v>
      </c>
      <c r="J2684" s="5">
        <v>692</v>
      </c>
    </row>
    <row r="2685" s="2" customFormat="1" spans="1:10">
      <c r="A2685" s="6">
        <f>2683</f>
        <v>2683</v>
      </c>
      <c r="B2685" s="6" t="s">
        <v>7155</v>
      </c>
      <c r="C2685" s="6" t="s">
        <v>12</v>
      </c>
      <c r="D2685" s="6" t="s">
        <v>6677</v>
      </c>
      <c r="E2685" s="6" t="s">
        <v>7097</v>
      </c>
      <c r="F2685" s="6" t="s">
        <v>7156</v>
      </c>
      <c r="G2685" s="6" t="s">
        <v>16</v>
      </c>
      <c r="H2685" s="5">
        <v>1</v>
      </c>
      <c r="I2685" s="6" t="s">
        <v>7156</v>
      </c>
      <c r="J2685" s="5">
        <v>440</v>
      </c>
    </row>
    <row r="2686" s="2" customFormat="1" spans="1:10">
      <c r="A2686" s="6">
        <f>2684</f>
        <v>2684</v>
      </c>
      <c r="B2686" s="6" t="s">
        <v>7157</v>
      </c>
      <c r="C2686" s="6" t="s">
        <v>12</v>
      </c>
      <c r="D2686" s="6" t="s">
        <v>6677</v>
      </c>
      <c r="E2686" s="6" t="s">
        <v>7097</v>
      </c>
      <c r="F2686" s="6" t="s">
        <v>7158</v>
      </c>
      <c r="G2686" s="6" t="s">
        <v>16</v>
      </c>
      <c r="H2686" s="5">
        <v>2</v>
      </c>
      <c r="I2686" s="6" t="s">
        <v>7159</v>
      </c>
      <c r="J2686" s="5">
        <v>404</v>
      </c>
    </row>
    <row r="2687" s="2" customFormat="1" spans="1:10">
      <c r="A2687" s="6">
        <f>2685</f>
        <v>2685</v>
      </c>
      <c r="B2687" s="6" t="s">
        <v>7160</v>
      </c>
      <c r="C2687" s="6" t="s">
        <v>12</v>
      </c>
      <c r="D2687" s="6" t="s">
        <v>6677</v>
      </c>
      <c r="E2687" s="6" t="s">
        <v>7097</v>
      </c>
      <c r="F2687" s="6" t="s">
        <v>7161</v>
      </c>
      <c r="G2687" s="6" t="s">
        <v>16</v>
      </c>
      <c r="H2687" s="5">
        <v>3</v>
      </c>
      <c r="I2687" s="6" t="s">
        <v>7162</v>
      </c>
      <c r="J2687" s="5">
        <v>580</v>
      </c>
    </row>
    <row r="2688" s="2" customFormat="1" spans="1:10">
      <c r="A2688" s="6">
        <f>2686</f>
        <v>2686</v>
      </c>
      <c r="B2688" s="6" t="s">
        <v>7163</v>
      </c>
      <c r="C2688" s="6" t="s">
        <v>12</v>
      </c>
      <c r="D2688" s="6" t="s">
        <v>6677</v>
      </c>
      <c r="E2688" s="6" t="s">
        <v>7097</v>
      </c>
      <c r="F2688" s="6" t="s">
        <v>7164</v>
      </c>
      <c r="G2688" s="6" t="s">
        <v>16</v>
      </c>
      <c r="H2688" s="5">
        <v>1</v>
      </c>
      <c r="I2688" s="6" t="s">
        <v>7164</v>
      </c>
      <c r="J2688" s="5">
        <v>260</v>
      </c>
    </row>
    <row r="2689" s="2" customFormat="1" spans="1:10">
      <c r="A2689" s="6">
        <f>2687</f>
        <v>2687</v>
      </c>
      <c r="B2689" s="6" t="s">
        <v>7165</v>
      </c>
      <c r="C2689" s="6" t="s">
        <v>12</v>
      </c>
      <c r="D2689" s="6" t="s">
        <v>6677</v>
      </c>
      <c r="E2689" s="6" t="s">
        <v>7097</v>
      </c>
      <c r="F2689" s="6" t="s">
        <v>7166</v>
      </c>
      <c r="G2689" s="6" t="s">
        <v>16</v>
      </c>
      <c r="H2689" s="5">
        <v>2</v>
      </c>
      <c r="I2689" s="6" t="s">
        <v>7167</v>
      </c>
      <c r="J2689" s="5">
        <v>520</v>
      </c>
    </row>
    <row r="2690" s="2" customFormat="1" spans="1:10">
      <c r="A2690" s="6">
        <f>2688</f>
        <v>2688</v>
      </c>
      <c r="B2690" s="6" t="s">
        <v>7168</v>
      </c>
      <c r="C2690" s="6" t="s">
        <v>12</v>
      </c>
      <c r="D2690" s="6" t="s">
        <v>6677</v>
      </c>
      <c r="E2690" s="6" t="s">
        <v>7097</v>
      </c>
      <c r="F2690" s="6" t="s">
        <v>7169</v>
      </c>
      <c r="G2690" s="6" t="s">
        <v>16</v>
      </c>
      <c r="H2690" s="5">
        <v>3</v>
      </c>
      <c r="I2690" s="6" t="s">
        <v>7170</v>
      </c>
      <c r="J2690" s="5">
        <v>690</v>
      </c>
    </row>
    <row r="2691" s="2" customFormat="1" ht="27" spans="1:10">
      <c r="A2691" s="6">
        <f>2689</f>
        <v>2689</v>
      </c>
      <c r="B2691" s="6" t="s">
        <v>7171</v>
      </c>
      <c r="C2691" s="6" t="s">
        <v>12</v>
      </c>
      <c r="D2691" s="6" t="s">
        <v>6677</v>
      </c>
      <c r="E2691" s="6" t="s">
        <v>7097</v>
      </c>
      <c r="F2691" s="6" t="s">
        <v>7172</v>
      </c>
      <c r="G2691" s="6" t="s">
        <v>16</v>
      </c>
      <c r="H2691" s="5">
        <v>5</v>
      </c>
      <c r="I2691" s="6" t="s">
        <v>7173</v>
      </c>
      <c r="J2691" s="5">
        <v>1300</v>
      </c>
    </row>
    <row r="2692" s="2" customFormat="1" ht="27" spans="1:10">
      <c r="A2692" s="6">
        <f>2690</f>
        <v>2690</v>
      </c>
      <c r="B2692" s="6" t="s">
        <v>7174</v>
      </c>
      <c r="C2692" s="6" t="s">
        <v>12</v>
      </c>
      <c r="D2692" s="6" t="s">
        <v>6677</v>
      </c>
      <c r="E2692" s="6" t="s">
        <v>7097</v>
      </c>
      <c r="F2692" s="6" t="s">
        <v>7175</v>
      </c>
      <c r="G2692" s="6" t="s">
        <v>16</v>
      </c>
      <c r="H2692" s="5">
        <v>4</v>
      </c>
      <c r="I2692" s="6" t="s">
        <v>7176</v>
      </c>
      <c r="J2692" s="5">
        <v>640</v>
      </c>
    </row>
    <row r="2693" s="2" customFormat="1" ht="27" spans="1:10">
      <c r="A2693" s="6">
        <f>2691</f>
        <v>2691</v>
      </c>
      <c r="B2693" s="6" t="s">
        <v>7177</v>
      </c>
      <c r="C2693" s="6" t="s">
        <v>12</v>
      </c>
      <c r="D2693" s="6" t="s">
        <v>6677</v>
      </c>
      <c r="E2693" s="6" t="s">
        <v>7097</v>
      </c>
      <c r="F2693" s="6" t="s">
        <v>7178</v>
      </c>
      <c r="G2693" s="6" t="s">
        <v>16</v>
      </c>
      <c r="H2693" s="5">
        <v>4</v>
      </c>
      <c r="I2693" s="6" t="s">
        <v>7179</v>
      </c>
      <c r="J2693" s="5">
        <v>960</v>
      </c>
    </row>
    <row r="2694" s="2" customFormat="1" spans="1:10">
      <c r="A2694" s="6">
        <f>2692</f>
        <v>2692</v>
      </c>
      <c r="B2694" s="6" t="s">
        <v>7180</v>
      </c>
      <c r="C2694" s="6" t="s">
        <v>12</v>
      </c>
      <c r="D2694" s="6" t="s">
        <v>6677</v>
      </c>
      <c r="E2694" s="6" t="s">
        <v>7097</v>
      </c>
      <c r="F2694" s="6" t="s">
        <v>7181</v>
      </c>
      <c r="G2694" s="6" t="s">
        <v>16</v>
      </c>
      <c r="H2694" s="5">
        <v>1</v>
      </c>
      <c r="I2694" s="6" t="s">
        <v>7181</v>
      </c>
      <c r="J2694" s="5">
        <v>403</v>
      </c>
    </row>
    <row r="2695" s="2" customFormat="1" ht="27" spans="1:10">
      <c r="A2695" s="6">
        <f>2693</f>
        <v>2693</v>
      </c>
      <c r="B2695" s="6" t="s">
        <v>7182</v>
      </c>
      <c r="C2695" s="6" t="s">
        <v>12</v>
      </c>
      <c r="D2695" s="6" t="s">
        <v>6677</v>
      </c>
      <c r="E2695" s="6" t="s">
        <v>7097</v>
      </c>
      <c r="F2695" s="6" t="s">
        <v>7183</v>
      </c>
      <c r="G2695" s="6" t="s">
        <v>16</v>
      </c>
      <c r="H2695" s="5">
        <v>5</v>
      </c>
      <c r="I2695" s="6" t="s">
        <v>7184</v>
      </c>
      <c r="J2695" s="5">
        <v>573</v>
      </c>
    </row>
    <row r="2696" s="2" customFormat="1" spans="1:10">
      <c r="A2696" s="6">
        <f>2694</f>
        <v>2694</v>
      </c>
      <c r="B2696" s="6" t="s">
        <v>7185</v>
      </c>
      <c r="C2696" s="6" t="s">
        <v>12</v>
      </c>
      <c r="D2696" s="6" t="s">
        <v>6677</v>
      </c>
      <c r="E2696" s="6" t="s">
        <v>7097</v>
      </c>
      <c r="F2696" s="6" t="s">
        <v>7186</v>
      </c>
      <c r="G2696" s="6" t="s">
        <v>16</v>
      </c>
      <c r="H2696" s="5">
        <v>3</v>
      </c>
      <c r="I2696" s="6" t="s">
        <v>7187</v>
      </c>
      <c r="J2696" s="5">
        <v>530</v>
      </c>
    </row>
    <row r="2697" s="2" customFormat="1" spans="1:10">
      <c r="A2697" s="6">
        <f>2695</f>
        <v>2695</v>
      </c>
      <c r="B2697" s="6" t="s">
        <v>7188</v>
      </c>
      <c r="C2697" s="6" t="s">
        <v>12</v>
      </c>
      <c r="D2697" s="6" t="s">
        <v>6677</v>
      </c>
      <c r="E2697" s="6" t="s">
        <v>7097</v>
      </c>
      <c r="F2697" s="6" t="s">
        <v>7189</v>
      </c>
      <c r="G2697" s="6" t="s">
        <v>16</v>
      </c>
      <c r="H2697" s="5">
        <v>2</v>
      </c>
      <c r="I2697" s="6" t="s">
        <v>7190</v>
      </c>
      <c r="J2697" s="5">
        <v>520</v>
      </c>
    </row>
    <row r="2698" s="2" customFormat="1" spans="1:10">
      <c r="A2698" s="6">
        <f>2696</f>
        <v>2696</v>
      </c>
      <c r="B2698" s="6" t="s">
        <v>7191</v>
      </c>
      <c r="C2698" s="6" t="s">
        <v>12</v>
      </c>
      <c r="D2698" s="6" t="s">
        <v>6677</v>
      </c>
      <c r="E2698" s="6" t="s">
        <v>7097</v>
      </c>
      <c r="F2698" s="6" t="s">
        <v>7192</v>
      </c>
      <c r="G2698" s="6" t="s">
        <v>16</v>
      </c>
      <c r="H2698" s="5">
        <v>3</v>
      </c>
      <c r="I2698" s="6" t="s">
        <v>7193</v>
      </c>
      <c r="J2698" s="5">
        <v>1180</v>
      </c>
    </row>
    <row r="2699" s="2" customFormat="1" ht="27" spans="1:10">
      <c r="A2699" s="6">
        <f>2697</f>
        <v>2697</v>
      </c>
      <c r="B2699" s="6" t="s">
        <v>7194</v>
      </c>
      <c r="C2699" s="6" t="s">
        <v>12</v>
      </c>
      <c r="D2699" s="6" t="s">
        <v>6677</v>
      </c>
      <c r="E2699" s="6" t="s">
        <v>7097</v>
      </c>
      <c r="F2699" s="6" t="s">
        <v>7195</v>
      </c>
      <c r="G2699" s="6" t="s">
        <v>16</v>
      </c>
      <c r="H2699" s="5">
        <v>5</v>
      </c>
      <c r="I2699" s="6" t="s">
        <v>7196</v>
      </c>
      <c r="J2699" s="5">
        <v>1000</v>
      </c>
    </row>
    <row r="2700" s="2" customFormat="1" spans="1:10">
      <c r="A2700" s="6">
        <f>2698</f>
        <v>2698</v>
      </c>
      <c r="B2700" s="6" t="s">
        <v>7197</v>
      </c>
      <c r="C2700" s="6" t="s">
        <v>12</v>
      </c>
      <c r="D2700" s="6" t="s">
        <v>6677</v>
      </c>
      <c r="E2700" s="6" t="s">
        <v>7097</v>
      </c>
      <c r="F2700" s="6" t="s">
        <v>7198</v>
      </c>
      <c r="G2700" s="6" t="s">
        <v>16</v>
      </c>
      <c r="H2700" s="5">
        <v>1</v>
      </c>
      <c r="I2700" s="6" t="s">
        <v>7198</v>
      </c>
      <c r="J2700" s="5">
        <v>253</v>
      </c>
    </row>
    <row r="2701" s="2" customFormat="1" spans="1:10">
      <c r="A2701" s="6">
        <f>2699</f>
        <v>2699</v>
      </c>
      <c r="B2701" s="6" t="s">
        <v>7199</v>
      </c>
      <c r="C2701" s="6" t="s">
        <v>12</v>
      </c>
      <c r="D2701" s="6" t="s">
        <v>6677</v>
      </c>
      <c r="E2701" s="6" t="s">
        <v>7097</v>
      </c>
      <c r="F2701" s="6" t="s">
        <v>7200</v>
      </c>
      <c r="G2701" s="6" t="s">
        <v>16</v>
      </c>
      <c r="H2701" s="5">
        <v>1</v>
      </c>
      <c r="I2701" s="6" t="s">
        <v>7200</v>
      </c>
      <c r="J2701" s="5">
        <v>263</v>
      </c>
    </row>
    <row r="2702" s="2" customFormat="1" spans="1:10">
      <c r="A2702" s="6">
        <f>2700</f>
        <v>2700</v>
      </c>
      <c r="B2702" s="6" t="s">
        <v>7201</v>
      </c>
      <c r="C2702" s="6" t="s">
        <v>12</v>
      </c>
      <c r="D2702" s="6" t="s">
        <v>6677</v>
      </c>
      <c r="E2702" s="6" t="s">
        <v>7097</v>
      </c>
      <c r="F2702" s="6" t="s">
        <v>7202</v>
      </c>
      <c r="G2702" s="6" t="s">
        <v>16</v>
      </c>
      <c r="H2702" s="5">
        <v>1</v>
      </c>
      <c r="I2702" s="6" t="s">
        <v>7202</v>
      </c>
      <c r="J2702" s="5">
        <v>310</v>
      </c>
    </row>
    <row r="2703" s="2" customFormat="1" spans="1:10">
      <c r="A2703" s="6">
        <f>2701</f>
        <v>2701</v>
      </c>
      <c r="B2703" s="6" t="s">
        <v>7203</v>
      </c>
      <c r="C2703" s="6" t="s">
        <v>12</v>
      </c>
      <c r="D2703" s="6" t="s">
        <v>6677</v>
      </c>
      <c r="E2703" s="6" t="s">
        <v>7097</v>
      </c>
      <c r="F2703" s="6" t="s">
        <v>604</v>
      </c>
      <c r="G2703" s="6" t="s">
        <v>16</v>
      </c>
      <c r="H2703" s="5">
        <v>1</v>
      </c>
      <c r="I2703" s="6" t="s">
        <v>604</v>
      </c>
      <c r="J2703" s="5">
        <v>540</v>
      </c>
    </row>
    <row r="2704" s="2" customFormat="1" ht="27" spans="1:10">
      <c r="A2704" s="6">
        <f>2702</f>
        <v>2702</v>
      </c>
      <c r="B2704" s="6" t="s">
        <v>7204</v>
      </c>
      <c r="C2704" s="6" t="s">
        <v>12</v>
      </c>
      <c r="D2704" s="6" t="s">
        <v>6677</v>
      </c>
      <c r="E2704" s="6" t="s">
        <v>7097</v>
      </c>
      <c r="F2704" s="6" t="s">
        <v>7205</v>
      </c>
      <c r="G2704" s="6" t="s">
        <v>16</v>
      </c>
      <c r="H2704" s="5">
        <v>5</v>
      </c>
      <c r="I2704" s="6" t="s">
        <v>7206</v>
      </c>
      <c r="J2704" s="5">
        <v>1400</v>
      </c>
    </row>
    <row r="2705" s="2" customFormat="1" ht="27" spans="1:10">
      <c r="A2705" s="6">
        <f>2703</f>
        <v>2703</v>
      </c>
      <c r="B2705" s="6" t="s">
        <v>7207</v>
      </c>
      <c r="C2705" s="6" t="s">
        <v>12</v>
      </c>
      <c r="D2705" s="6" t="s">
        <v>6677</v>
      </c>
      <c r="E2705" s="6" t="s">
        <v>7097</v>
      </c>
      <c r="F2705" s="6" t="s">
        <v>707</v>
      </c>
      <c r="G2705" s="6" t="s">
        <v>16</v>
      </c>
      <c r="H2705" s="5">
        <v>4</v>
      </c>
      <c r="I2705" s="6" t="s">
        <v>7208</v>
      </c>
      <c r="J2705" s="5">
        <v>560</v>
      </c>
    </row>
    <row r="2706" s="2" customFormat="1" ht="27" spans="1:10">
      <c r="A2706" s="6">
        <f>2704</f>
        <v>2704</v>
      </c>
      <c r="B2706" s="6" t="s">
        <v>7209</v>
      </c>
      <c r="C2706" s="6" t="s">
        <v>12</v>
      </c>
      <c r="D2706" s="6" t="s">
        <v>6677</v>
      </c>
      <c r="E2706" s="6" t="s">
        <v>7097</v>
      </c>
      <c r="F2706" s="6" t="s">
        <v>7210</v>
      </c>
      <c r="G2706" s="6" t="s">
        <v>16</v>
      </c>
      <c r="H2706" s="5">
        <v>6</v>
      </c>
      <c r="I2706" s="6" t="s">
        <v>7211</v>
      </c>
      <c r="J2706" s="5">
        <v>1740</v>
      </c>
    </row>
    <row r="2707" s="2" customFormat="1" spans="1:10">
      <c r="A2707" s="6">
        <f>2705</f>
        <v>2705</v>
      </c>
      <c r="B2707" s="6" t="s">
        <v>7212</v>
      </c>
      <c r="C2707" s="6" t="s">
        <v>12</v>
      </c>
      <c r="D2707" s="6" t="s">
        <v>6677</v>
      </c>
      <c r="E2707" s="6" t="s">
        <v>7097</v>
      </c>
      <c r="F2707" s="6" t="s">
        <v>7213</v>
      </c>
      <c r="G2707" s="6" t="s">
        <v>16</v>
      </c>
      <c r="H2707" s="5">
        <v>1</v>
      </c>
      <c r="I2707" s="6" t="s">
        <v>7213</v>
      </c>
      <c r="J2707" s="5">
        <v>340</v>
      </c>
    </row>
    <row r="2708" s="2" customFormat="1" ht="27" spans="1:10">
      <c r="A2708" s="6">
        <f>2706</f>
        <v>2706</v>
      </c>
      <c r="B2708" s="6" t="s">
        <v>7214</v>
      </c>
      <c r="C2708" s="6" t="s">
        <v>12</v>
      </c>
      <c r="D2708" s="6" t="s">
        <v>6677</v>
      </c>
      <c r="E2708" s="6" t="s">
        <v>7097</v>
      </c>
      <c r="F2708" s="6" t="s">
        <v>7215</v>
      </c>
      <c r="G2708" s="6" t="s">
        <v>16</v>
      </c>
      <c r="H2708" s="5">
        <v>5</v>
      </c>
      <c r="I2708" s="6" t="s">
        <v>7216</v>
      </c>
      <c r="J2708" s="5">
        <v>490</v>
      </c>
    </row>
    <row r="2709" s="2" customFormat="1" spans="1:10">
      <c r="A2709" s="6">
        <f>2707</f>
        <v>2707</v>
      </c>
      <c r="B2709" s="6" t="s">
        <v>7217</v>
      </c>
      <c r="C2709" s="6" t="s">
        <v>12</v>
      </c>
      <c r="D2709" s="6" t="s">
        <v>6677</v>
      </c>
      <c r="E2709" s="6" t="s">
        <v>7097</v>
      </c>
      <c r="F2709" s="6" t="s">
        <v>7218</v>
      </c>
      <c r="G2709" s="6" t="s">
        <v>16</v>
      </c>
      <c r="H2709" s="5">
        <v>1</v>
      </c>
      <c r="I2709" s="6" t="s">
        <v>7218</v>
      </c>
      <c r="J2709" s="5">
        <v>440</v>
      </c>
    </row>
    <row r="2710" s="2" customFormat="1" spans="1:10">
      <c r="A2710" s="6">
        <f>2708</f>
        <v>2708</v>
      </c>
      <c r="B2710" s="6" t="s">
        <v>7219</v>
      </c>
      <c r="C2710" s="6" t="s">
        <v>12</v>
      </c>
      <c r="D2710" s="6" t="s">
        <v>6677</v>
      </c>
      <c r="E2710" s="6" t="s">
        <v>7097</v>
      </c>
      <c r="F2710" s="6" t="s">
        <v>7220</v>
      </c>
      <c r="G2710" s="6" t="s">
        <v>16</v>
      </c>
      <c r="H2710" s="5">
        <v>3</v>
      </c>
      <c r="I2710" s="6" t="s">
        <v>7221</v>
      </c>
      <c r="J2710" s="5">
        <v>493</v>
      </c>
    </row>
    <row r="2711" s="2" customFormat="1" spans="1:10">
      <c r="A2711" s="6">
        <f>2709</f>
        <v>2709</v>
      </c>
      <c r="B2711" s="6" t="s">
        <v>7222</v>
      </c>
      <c r="C2711" s="6" t="s">
        <v>12</v>
      </c>
      <c r="D2711" s="6" t="s">
        <v>6677</v>
      </c>
      <c r="E2711" s="6" t="s">
        <v>7097</v>
      </c>
      <c r="F2711" s="6" t="s">
        <v>7223</v>
      </c>
      <c r="G2711" s="6" t="s">
        <v>16</v>
      </c>
      <c r="H2711" s="5">
        <v>3</v>
      </c>
      <c r="I2711" s="6" t="s">
        <v>7224</v>
      </c>
      <c r="J2711" s="5">
        <v>1100</v>
      </c>
    </row>
    <row r="2712" s="2" customFormat="1" spans="1:10">
      <c r="A2712" s="6">
        <f>2710</f>
        <v>2710</v>
      </c>
      <c r="B2712" s="6" t="s">
        <v>7225</v>
      </c>
      <c r="C2712" s="6" t="s">
        <v>12</v>
      </c>
      <c r="D2712" s="6" t="s">
        <v>6677</v>
      </c>
      <c r="E2712" s="6" t="s">
        <v>7097</v>
      </c>
      <c r="F2712" s="6" t="s">
        <v>7226</v>
      </c>
      <c r="G2712" s="6" t="s">
        <v>16</v>
      </c>
      <c r="H2712" s="5">
        <v>2</v>
      </c>
      <c r="I2712" s="6" t="s">
        <v>7227</v>
      </c>
      <c r="J2712" s="5">
        <v>520</v>
      </c>
    </row>
    <row r="2713" s="2" customFormat="1" spans="1:10">
      <c r="A2713" s="6">
        <f>2711</f>
        <v>2711</v>
      </c>
      <c r="B2713" s="6" t="s">
        <v>7228</v>
      </c>
      <c r="C2713" s="6" t="s">
        <v>12</v>
      </c>
      <c r="D2713" s="6" t="s">
        <v>6677</v>
      </c>
      <c r="E2713" s="6" t="s">
        <v>7097</v>
      </c>
      <c r="F2713" s="6" t="s">
        <v>7229</v>
      </c>
      <c r="G2713" s="6" t="s">
        <v>16</v>
      </c>
      <c r="H2713" s="5">
        <v>1</v>
      </c>
      <c r="I2713" s="6" t="s">
        <v>7229</v>
      </c>
      <c r="J2713" s="5">
        <v>390</v>
      </c>
    </row>
    <row r="2714" s="2" customFormat="1" spans="1:10">
      <c r="A2714" s="6">
        <f>2712</f>
        <v>2712</v>
      </c>
      <c r="B2714" s="6" t="s">
        <v>7230</v>
      </c>
      <c r="C2714" s="6" t="s">
        <v>12</v>
      </c>
      <c r="D2714" s="6" t="s">
        <v>6677</v>
      </c>
      <c r="E2714" s="6" t="s">
        <v>7097</v>
      </c>
      <c r="F2714" s="6" t="s">
        <v>7231</v>
      </c>
      <c r="G2714" s="6" t="s">
        <v>16</v>
      </c>
      <c r="H2714" s="5">
        <v>1</v>
      </c>
      <c r="I2714" s="6" t="s">
        <v>7231</v>
      </c>
      <c r="J2714" s="5">
        <v>390</v>
      </c>
    </row>
    <row r="2715" s="2" customFormat="1" spans="1:10">
      <c r="A2715" s="6">
        <f>2713</f>
        <v>2713</v>
      </c>
      <c r="B2715" s="6" t="s">
        <v>7232</v>
      </c>
      <c r="C2715" s="6" t="s">
        <v>12</v>
      </c>
      <c r="D2715" s="6" t="s">
        <v>6677</v>
      </c>
      <c r="E2715" s="6" t="s">
        <v>7097</v>
      </c>
      <c r="F2715" s="6" t="s">
        <v>7233</v>
      </c>
      <c r="G2715" s="6" t="s">
        <v>16</v>
      </c>
      <c r="H2715" s="5">
        <v>1</v>
      </c>
      <c r="I2715" s="6" t="s">
        <v>7233</v>
      </c>
      <c r="J2715" s="5">
        <v>500</v>
      </c>
    </row>
    <row r="2716" s="2" customFormat="1" ht="27" spans="1:10">
      <c r="A2716" s="6">
        <f>2714</f>
        <v>2714</v>
      </c>
      <c r="B2716" s="6" t="s">
        <v>7234</v>
      </c>
      <c r="C2716" s="6" t="s">
        <v>12</v>
      </c>
      <c r="D2716" s="6" t="s">
        <v>6677</v>
      </c>
      <c r="E2716" s="6" t="s">
        <v>7235</v>
      </c>
      <c r="F2716" s="6" t="s">
        <v>7236</v>
      </c>
      <c r="G2716" s="6" t="s">
        <v>16</v>
      </c>
      <c r="H2716" s="5">
        <v>5</v>
      </c>
      <c r="I2716" s="6" t="s">
        <v>7237</v>
      </c>
      <c r="J2716" s="5">
        <v>1800</v>
      </c>
    </row>
    <row r="2717" s="2" customFormat="1" spans="1:10">
      <c r="A2717" s="6">
        <f>2715</f>
        <v>2715</v>
      </c>
      <c r="B2717" s="6" t="s">
        <v>7238</v>
      </c>
      <c r="C2717" s="6" t="s">
        <v>12</v>
      </c>
      <c r="D2717" s="6" t="s">
        <v>6677</v>
      </c>
      <c r="E2717" s="6" t="s">
        <v>7235</v>
      </c>
      <c r="F2717" s="6" t="s">
        <v>7239</v>
      </c>
      <c r="G2717" s="6" t="s">
        <v>16</v>
      </c>
      <c r="H2717" s="5">
        <v>1</v>
      </c>
      <c r="I2717" s="6" t="s">
        <v>7239</v>
      </c>
      <c r="J2717" s="5">
        <v>620</v>
      </c>
    </row>
    <row r="2718" s="2" customFormat="1" spans="1:10">
      <c r="A2718" s="6">
        <f>2716</f>
        <v>2716</v>
      </c>
      <c r="B2718" s="6" t="s">
        <v>7240</v>
      </c>
      <c r="C2718" s="6" t="s">
        <v>12</v>
      </c>
      <c r="D2718" s="6" t="s">
        <v>6677</v>
      </c>
      <c r="E2718" s="6" t="s">
        <v>7235</v>
      </c>
      <c r="F2718" s="6" t="s">
        <v>7241</v>
      </c>
      <c r="G2718" s="6" t="s">
        <v>16</v>
      </c>
      <c r="H2718" s="5">
        <v>3</v>
      </c>
      <c r="I2718" s="6" t="s">
        <v>7242</v>
      </c>
      <c r="J2718" s="5">
        <v>1440</v>
      </c>
    </row>
    <row r="2719" s="2" customFormat="1" spans="1:10">
      <c r="A2719" s="6">
        <f>2717</f>
        <v>2717</v>
      </c>
      <c r="B2719" s="6" t="s">
        <v>7243</v>
      </c>
      <c r="C2719" s="6" t="s">
        <v>12</v>
      </c>
      <c r="D2719" s="6" t="s">
        <v>6677</v>
      </c>
      <c r="E2719" s="6" t="s">
        <v>7235</v>
      </c>
      <c r="F2719" s="6" t="s">
        <v>7244</v>
      </c>
      <c r="G2719" s="6" t="s">
        <v>16</v>
      </c>
      <c r="H2719" s="5">
        <v>2</v>
      </c>
      <c r="I2719" s="6" t="s">
        <v>7245</v>
      </c>
      <c r="J2719" s="5">
        <v>620</v>
      </c>
    </row>
    <row r="2720" s="2" customFormat="1" ht="27" spans="1:10">
      <c r="A2720" s="6">
        <f>2718</f>
        <v>2718</v>
      </c>
      <c r="B2720" s="6" t="s">
        <v>7246</v>
      </c>
      <c r="C2720" s="6" t="s">
        <v>12</v>
      </c>
      <c r="D2720" s="6" t="s">
        <v>6677</v>
      </c>
      <c r="E2720" s="6" t="s">
        <v>7235</v>
      </c>
      <c r="F2720" s="6" t="s">
        <v>7247</v>
      </c>
      <c r="G2720" s="6" t="s">
        <v>16</v>
      </c>
      <c r="H2720" s="5">
        <v>7</v>
      </c>
      <c r="I2720" s="6" t="s">
        <v>7248</v>
      </c>
      <c r="J2720" s="5">
        <v>1820</v>
      </c>
    </row>
    <row r="2721" s="2" customFormat="1" ht="27" spans="1:10">
      <c r="A2721" s="6">
        <f>2719</f>
        <v>2719</v>
      </c>
      <c r="B2721" s="6" t="s">
        <v>7249</v>
      </c>
      <c r="C2721" s="6" t="s">
        <v>12</v>
      </c>
      <c r="D2721" s="6" t="s">
        <v>6677</v>
      </c>
      <c r="E2721" s="6" t="s">
        <v>7235</v>
      </c>
      <c r="F2721" s="6" t="s">
        <v>7250</v>
      </c>
      <c r="G2721" s="6" t="s">
        <v>16</v>
      </c>
      <c r="H2721" s="5">
        <v>4</v>
      </c>
      <c r="I2721" s="6" t="s">
        <v>7251</v>
      </c>
      <c r="J2721" s="5">
        <v>1040</v>
      </c>
    </row>
    <row r="2722" s="2" customFormat="1" spans="1:10">
      <c r="A2722" s="6">
        <f>2720</f>
        <v>2720</v>
      </c>
      <c r="B2722" s="6" t="s">
        <v>7252</v>
      </c>
      <c r="C2722" s="6" t="s">
        <v>12</v>
      </c>
      <c r="D2722" s="6" t="s">
        <v>6677</v>
      </c>
      <c r="E2722" s="6" t="s">
        <v>7235</v>
      </c>
      <c r="F2722" s="6" t="s">
        <v>7253</v>
      </c>
      <c r="G2722" s="6" t="s">
        <v>16</v>
      </c>
      <c r="H2722" s="5">
        <v>1</v>
      </c>
      <c r="I2722" s="6" t="s">
        <v>7253</v>
      </c>
      <c r="J2722" s="5">
        <v>540</v>
      </c>
    </row>
    <row r="2723" s="2" customFormat="1" spans="1:10">
      <c r="A2723" s="6">
        <f>2721</f>
        <v>2721</v>
      </c>
      <c r="B2723" s="6" t="s">
        <v>7254</v>
      </c>
      <c r="C2723" s="6" t="s">
        <v>12</v>
      </c>
      <c r="D2723" s="6" t="s">
        <v>6677</v>
      </c>
      <c r="E2723" s="6" t="s">
        <v>7235</v>
      </c>
      <c r="F2723" s="6" t="s">
        <v>7255</v>
      </c>
      <c r="G2723" s="6" t="s">
        <v>16</v>
      </c>
      <c r="H2723" s="5">
        <v>2</v>
      </c>
      <c r="I2723" s="6" t="s">
        <v>7256</v>
      </c>
      <c r="J2723" s="5">
        <v>780</v>
      </c>
    </row>
    <row r="2724" s="2" customFormat="1" ht="27" spans="1:10">
      <c r="A2724" s="6">
        <f>2722</f>
        <v>2722</v>
      </c>
      <c r="B2724" s="6" t="s">
        <v>7257</v>
      </c>
      <c r="C2724" s="6" t="s">
        <v>12</v>
      </c>
      <c r="D2724" s="6" t="s">
        <v>6677</v>
      </c>
      <c r="E2724" s="6" t="s">
        <v>7235</v>
      </c>
      <c r="F2724" s="6" t="s">
        <v>7258</v>
      </c>
      <c r="G2724" s="6" t="s">
        <v>16</v>
      </c>
      <c r="H2724" s="5">
        <v>4</v>
      </c>
      <c r="I2724" s="6" t="s">
        <v>7259</v>
      </c>
      <c r="J2724" s="5">
        <v>1340</v>
      </c>
    </row>
    <row r="2725" s="2" customFormat="1" spans="1:10">
      <c r="A2725" s="6">
        <f>2723</f>
        <v>2723</v>
      </c>
      <c r="B2725" s="6" t="s">
        <v>7260</v>
      </c>
      <c r="C2725" s="6" t="s">
        <v>12</v>
      </c>
      <c r="D2725" s="6" t="s">
        <v>6677</v>
      </c>
      <c r="E2725" s="6" t="s">
        <v>7235</v>
      </c>
      <c r="F2725" s="6" t="s">
        <v>7261</v>
      </c>
      <c r="G2725" s="6" t="s">
        <v>16</v>
      </c>
      <c r="H2725" s="5">
        <v>3</v>
      </c>
      <c r="I2725" s="6" t="s">
        <v>7262</v>
      </c>
      <c r="J2725" s="5">
        <v>780</v>
      </c>
    </row>
    <row r="2726" s="2" customFormat="1" spans="1:10">
      <c r="A2726" s="6">
        <f>2724</f>
        <v>2724</v>
      </c>
      <c r="B2726" s="6" t="s">
        <v>7263</v>
      </c>
      <c r="C2726" s="6" t="s">
        <v>12</v>
      </c>
      <c r="D2726" s="6" t="s">
        <v>6677</v>
      </c>
      <c r="E2726" s="6" t="s">
        <v>7235</v>
      </c>
      <c r="F2726" s="6" t="s">
        <v>7264</v>
      </c>
      <c r="G2726" s="6" t="s">
        <v>16</v>
      </c>
      <c r="H2726" s="5">
        <v>2</v>
      </c>
      <c r="I2726" s="6" t="s">
        <v>7265</v>
      </c>
      <c r="J2726" s="5">
        <v>960</v>
      </c>
    </row>
    <row r="2727" s="2" customFormat="1" ht="27" spans="1:10">
      <c r="A2727" s="6">
        <f>2725</f>
        <v>2725</v>
      </c>
      <c r="B2727" s="6" t="s">
        <v>7266</v>
      </c>
      <c r="C2727" s="6" t="s">
        <v>12</v>
      </c>
      <c r="D2727" s="6" t="s">
        <v>6677</v>
      </c>
      <c r="E2727" s="6" t="s">
        <v>7235</v>
      </c>
      <c r="F2727" s="6" t="s">
        <v>7267</v>
      </c>
      <c r="G2727" s="6" t="s">
        <v>16</v>
      </c>
      <c r="H2727" s="5">
        <v>4</v>
      </c>
      <c r="I2727" s="6" t="s">
        <v>7268</v>
      </c>
      <c r="J2727" s="5">
        <v>960</v>
      </c>
    </row>
    <row r="2728" s="2" customFormat="1" spans="1:10">
      <c r="A2728" s="6">
        <f>2726</f>
        <v>2726</v>
      </c>
      <c r="B2728" s="6" t="s">
        <v>7269</v>
      </c>
      <c r="C2728" s="6" t="s">
        <v>12</v>
      </c>
      <c r="D2728" s="6" t="s">
        <v>6677</v>
      </c>
      <c r="E2728" s="6" t="s">
        <v>7235</v>
      </c>
      <c r="F2728" s="6" t="s">
        <v>7270</v>
      </c>
      <c r="G2728" s="6" t="s">
        <v>16</v>
      </c>
      <c r="H2728" s="5">
        <v>2</v>
      </c>
      <c r="I2728" s="6" t="s">
        <v>7271</v>
      </c>
      <c r="J2728" s="5">
        <v>680</v>
      </c>
    </row>
    <row r="2729" s="2" customFormat="1" spans="1:10">
      <c r="A2729" s="6">
        <f>2727</f>
        <v>2727</v>
      </c>
      <c r="B2729" s="6" t="s">
        <v>7272</v>
      </c>
      <c r="C2729" s="6" t="s">
        <v>12</v>
      </c>
      <c r="D2729" s="6" t="s">
        <v>6677</v>
      </c>
      <c r="E2729" s="6" t="s">
        <v>7235</v>
      </c>
      <c r="F2729" s="6" t="s">
        <v>7116</v>
      </c>
      <c r="G2729" s="6" t="s">
        <v>16</v>
      </c>
      <c r="H2729" s="5">
        <v>3</v>
      </c>
      <c r="I2729" s="6" t="s">
        <v>7273</v>
      </c>
      <c r="J2729" s="5">
        <v>920</v>
      </c>
    </row>
    <row r="2730" s="2" customFormat="1" ht="27" spans="1:10">
      <c r="A2730" s="6">
        <f>2728</f>
        <v>2728</v>
      </c>
      <c r="B2730" s="6" t="s">
        <v>7274</v>
      </c>
      <c r="C2730" s="6" t="s">
        <v>12</v>
      </c>
      <c r="D2730" s="6" t="s">
        <v>6677</v>
      </c>
      <c r="E2730" s="6" t="s">
        <v>7235</v>
      </c>
      <c r="F2730" s="6" t="s">
        <v>7275</v>
      </c>
      <c r="G2730" s="6" t="s">
        <v>16</v>
      </c>
      <c r="H2730" s="5">
        <v>4</v>
      </c>
      <c r="I2730" s="6" t="s">
        <v>7276</v>
      </c>
      <c r="J2730" s="5">
        <v>1090</v>
      </c>
    </row>
    <row r="2731" s="2" customFormat="1" spans="1:10">
      <c r="A2731" s="6">
        <f>2729</f>
        <v>2729</v>
      </c>
      <c r="B2731" s="6" t="s">
        <v>7277</v>
      </c>
      <c r="C2731" s="6" t="s">
        <v>12</v>
      </c>
      <c r="D2731" s="6" t="s">
        <v>6677</v>
      </c>
      <c r="E2731" s="6" t="s">
        <v>7235</v>
      </c>
      <c r="F2731" s="6" t="s">
        <v>7278</v>
      </c>
      <c r="G2731" s="6" t="s">
        <v>16</v>
      </c>
      <c r="H2731" s="5">
        <v>3</v>
      </c>
      <c r="I2731" s="6" t="s">
        <v>7279</v>
      </c>
      <c r="J2731" s="5">
        <v>753</v>
      </c>
    </row>
    <row r="2732" s="2" customFormat="1" spans="1:10">
      <c r="A2732" s="6">
        <f>2730</f>
        <v>2730</v>
      </c>
      <c r="B2732" s="6" t="s">
        <v>7280</v>
      </c>
      <c r="C2732" s="6" t="s">
        <v>12</v>
      </c>
      <c r="D2732" s="6" t="s">
        <v>6677</v>
      </c>
      <c r="E2732" s="6" t="s">
        <v>7235</v>
      </c>
      <c r="F2732" s="6" t="s">
        <v>7281</v>
      </c>
      <c r="G2732" s="6" t="s">
        <v>16</v>
      </c>
      <c r="H2732" s="5">
        <v>1</v>
      </c>
      <c r="I2732" s="6" t="s">
        <v>7281</v>
      </c>
      <c r="J2732" s="5">
        <v>270</v>
      </c>
    </row>
    <row r="2733" s="2" customFormat="1" spans="1:10">
      <c r="A2733" s="6">
        <f>2731</f>
        <v>2731</v>
      </c>
      <c r="B2733" s="6" t="s">
        <v>7282</v>
      </c>
      <c r="C2733" s="6" t="s">
        <v>12</v>
      </c>
      <c r="D2733" s="6" t="s">
        <v>6677</v>
      </c>
      <c r="E2733" s="6" t="s">
        <v>7235</v>
      </c>
      <c r="F2733" s="6" t="s">
        <v>7283</v>
      </c>
      <c r="G2733" s="6" t="s">
        <v>16</v>
      </c>
      <c r="H2733" s="5">
        <v>2</v>
      </c>
      <c r="I2733" s="6" t="s">
        <v>7284</v>
      </c>
      <c r="J2733" s="5">
        <v>520</v>
      </c>
    </row>
    <row r="2734" s="2" customFormat="1" spans="1:10">
      <c r="A2734" s="6">
        <f>2732</f>
        <v>2732</v>
      </c>
      <c r="B2734" s="6" t="s">
        <v>7285</v>
      </c>
      <c r="C2734" s="6" t="s">
        <v>12</v>
      </c>
      <c r="D2734" s="6" t="s">
        <v>6677</v>
      </c>
      <c r="E2734" s="6" t="s">
        <v>7235</v>
      </c>
      <c r="F2734" s="6" t="s">
        <v>7286</v>
      </c>
      <c r="G2734" s="6" t="s">
        <v>16</v>
      </c>
      <c r="H2734" s="5">
        <v>2</v>
      </c>
      <c r="I2734" s="6" t="s">
        <v>7287</v>
      </c>
      <c r="J2734" s="5">
        <v>340</v>
      </c>
    </row>
    <row r="2735" s="2" customFormat="1" spans="1:10">
      <c r="A2735" s="6">
        <f>2733</f>
        <v>2733</v>
      </c>
      <c r="B2735" s="6" t="s">
        <v>7288</v>
      </c>
      <c r="C2735" s="6" t="s">
        <v>12</v>
      </c>
      <c r="D2735" s="6" t="s">
        <v>6677</v>
      </c>
      <c r="E2735" s="6" t="s">
        <v>7235</v>
      </c>
      <c r="F2735" s="6" t="s">
        <v>7289</v>
      </c>
      <c r="G2735" s="6" t="s">
        <v>16</v>
      </c>
      <c r="H2735" s="5">
        <v>1</v>
      </c>
      <c r="I2735" s="6" t="s">
        <v>7289</v>
      </c>
      <c r="J2735" s="5">
        <v>320</v>
      </c>
    </row>
    <row r="2736" s="2" customFormat="1" spans="1:10">
      <c r="A2736" s="6">
        <f>2734</f>
        <v>2734</v>
      </c>
      <c r="B2736" s="6" t="s">
        <v>7290</v>
      </c>
      <c r="C2736" s="6" t="s">
        <v>12</v>
      </c>
      <c r="D2736" s="6" t="s">
        <v>6677</v>
      </c>
      <c r="E2736" s="6" t="s">
        <v>7235</v>
      </c>
      <c r="F2736" s="6" t="s">
        <v>7291</v>
      </c>
      <c r="G2736" s="6" t="s">
        <v>16</v>
      </c>
      <c r="H2736" s="5">
        <v>1</v>
      </c>
      <c r="I2736" s="6" t="s">
        <v>7291</v>
      </c>
      <c r="J2736" s="5">
        <v>540</v>
      </c>
    </row>
    <row r="2737" s="2" customFormat="1" spans="1:10">
      <c r="A2737" s="6">
        <f>2735</f>
        <v>2735</v>
      </c>
      <c r="B2737" s="6" t="s">
        <v>7292</v>
      </c>
      <c r="C2737" s="6" t="s">
        <v>12</v>
      </c>
      <c r="D2737" s="6" t="s">
        <v>6677</v>
      </c>
      <c r="E2737" s="6" t="s">
        <v>7235</v>
      </c>
      <c r="F2737" s="6" t="s">
        <v>7293</v>
      </c>
      <c r="G2737" s="6" t="s">
        <v>16</v>
      </c>
      <c r="H2737" s="5">
        <v>3</v>
      </c>
      <c r="I2737" s="6" t="s">
        <v>7294</v>
      </c>
      <c r="J2737" s="5">
        <v>850</v>
      </c>
    </row>
    <row r="2738" s="2" customFormat="1" ht="27" spans="1:10">
      <c r="A2738" s="6">
        <f>2736</f>
        <v>2736</v>
      </c>
      <c r="B2738" s="6" t="s">
        <v>7295</v>
      </c>
      <c r="C2738" s="6" t="s">
        <v>12</v>
      </c>
      <c r="D2738" s="6" t="s">
        <v>6677</v>
      </c>
      <c r="E2738" s="6" t="s">
        <v>7235</v>
      </c>
      <c r="F2738" s="6" t="s">
        <v>7296</v>
      </c>
      <c r="G2738" s="6" t="s">
        <v>16</v>
      </c>
      <c r="H2738" s="5">
        <v>4</v>
      </c>
      <c r="I2738" s="6" t="s">
        <v>7297</v>
      </c>
      <c r="J2738" s="5">
        <v>560</v>
      </c>
    </row>
    <row r="2739" s="2" customFormat="1" ht="27" spans="1:10">
      <c r="A2739" s="6">
        <f>2737</f>
        <v>2737</v>
      </c>
      <c r="B2739" s="6" t="s">
        <v>7298</v>
      </c>
      <c r="C2739" s="6" t="s">
        <v>12</v>
      </c>
      <c r="D2739" s="6" t="s">
        <v>6677</v>
      </c>
      <c r="E2739" s="6" t="s">
        <v>7235</v>
      </c>
      <c r="F2739" s="6" t="s">
        <v>7299</v>
      </c>
      <c r="G2739" s="6" t="s">
        <v>16</v>
      </c>
      <c r="H2739" s="5">
        <v>4</v>
      </c>
      <c r="I2739" s="6" t="s">
        <v>7300</v>
      </c>
      <c r="J2739" s="5">
        <v>840</v>
      </c>
    </row>
    <row r="2740" s="2" customFormat="1" spans="1:10">
      <c r="A2740" s="6">
        <f>2738</f>
        <v>2738</v>
      </c>
      <c r="B2740" s="6" t="s">
        <v>7301</v>
      </c>
      <c r="C2740" s="6" t="s">
        <v>12</v>
      </c>
      <c r="D2740" s="6" t="s">
        <v>6677</v>
      </c>
      <c r="E2740" s="6" t="s">
        <v>7235</v>
      </c>
      <c r="F2740" s="6" t="s">
        <v>7302</v>
      </c>
      <c r="G2740" s="6" t="s">
        <v>16</v>
      </c>
      <c r="H2740" s="5">
        <v>2</v>
      </c>
      <c r="I2740" s="6" t="s">
        <v>7303</v>
      </c>
      <c r="J2740" s="5">
        <v>480</v>
      </c>
    </row>
    <row r="2741" s="2" customFormat="1" spans="1:10">
      <c r="A2741" s="6">
        <f>2739</f>
        <v>2739</v>
      </c>
      <c r="B2741" s="6" t="s">
        <v>7304</v>
      </c>
      <c r="C2741" s="6" t="s">
        <v>12</v>
      </c>
      <c r="D2741" s="6" t="s">
        <v>6677</v>
      </c>
      <c r="E2741" s="6" t="s">
        <v>7235</v>
      </c>
      <c r="F2741" s="6" t="s">
        <v>7305</v>
      </c>
      <c r="G2741" s="6" t="s">
        <v>16</v>
      </c>
      <c r="H2741" s="5">
        <v>1</v>
      </c>
      <c r="I2741" s="6" t="s">
        <v>7305</v>
      </c>
      <c r="J2741" s="5">
        <v>300</v>
      </c>
    </row>
    <row r="2742" s="2" customFormat="1" ht="27" spans="1:10">
      <c r="A2742" s="6">
        <f>2740</f>
        <v>2740</v>
      </c>
      <c r="B2742" s="6" t="s">
        <v>7306</v>
      </c>
      <c r="C2742" s="6" t="s">
        <v>12</v>
      </c>
      <c r="D2742" s="6" t="s">
        <v>6677</v>
      </c>
      <c r="E2742" s="6" t="s">
        <v>7235</v>
      </c>
      <c r="F2742" s="6" t="s">
        <v>7307</v>
      </c>
      <c r="G2742" s="6" t="s">
        <v>16</v>
      </c>
      <c r="H2742" s="5">
        <v>4</v>
      </c>
      <c r="I2742" s="6" t="s">
        <v>7308</v>
      </c>
      <c r="J2742" s="5">
        <v>760</v>
      </c>
    </row>
    <row r="2743" s="2" customFormat="1" ht="27" spans="1:10">
      <c r="A2743" s="6">
        <f>2741</f>
        <v>2741</v>
      </c>
      <c r="B2743" s="6" t="s">
        <v>7309</v>
      </c>
      <c r="C2743" s="6" t="s">
        <v>12</v>
      </c>
      <c r="D2743" s="6" t="s">
        <v>6677</v>
      </c>
      <c r="E2743" s="6" t="s">
        <v>7235</v>
      </c>
      <c r="F2743" s="6" t="s">
        <v>7310</v>
      </c>
      <c r="G2743" s="6" t="s">
        <v>16</v>
      </c>
      <c r="H2743" s="5">
        <v>4</v>
      </c>
      <c r="I2743" s="6" t="s">
        <v>7311</v>
      </c>
      <c r="J2743" s="5">
        <v>640</v>
      </c>
    </row>
    <row r="2744" s="2" customFormat="1" ht="27" spans="1:10">
      <c r="A2744" s="6">
        <f>2742</f>
        <v>2742</v>
      </c>
      <c r="B2744" s="6" t="s">
        <v>7312</v>
      </c>
      <c r="C2744" s="6" t="s">
        <v>12</v>
      </c>
      <c r="D2744" s="6" t="s">
        <v>6677</v>
      </c>
      <c r="E2744" s="6" t="s">
        <v>7235</v>
      </c>
      <c r="F2744" s="6" t="s">
        <v>7313</v>
      </c>
      <c r="G2744" s="6" t="s">
        <v>16</v>
      </c>
      <c r="H2744" s="5">
        <v>5</v>
      </c>
      <c r="I2744" s="6" t="s">
        <v>7314</v>
      </c>
      <c r="J2744" s="5">
        <v>1400</v>
      </c>
    </row>
    <row r="2745" s="2" customFormat="1" spans="1:10">
      <c r="A2745" s="6">
        <f>2743</f>
        <v>2743</v>
      </c>
      <c r="B2745" s="6" t="s">
        <v>7315</v>
      </c>
      <c r="C2745" s="6" t="s">
        <v>12</v>
      </c>
      <c r="D2745" s="6" t="s">
        <v>6677</v>
      </c>
      <c r="E2745" s="6" t="s">
        <v>7235</v>
      </c>
      <c r="F2745" s="6" t="s">
        <v>7316</v>
      </c>
      <c r="G2745" s="6" t="s">
        <v>16</v>
      </c>
      <c r="H2745" s="5">
        <v>1</v>
      </c>
      <c r="I2745" s="6" t="s">
        <v>7316</v>
      </c>
      <c r="J2745" s="5">
        <v>300</v>
      </c>
    </row>
    <row r="2746" s="2" customFormat="1" ht="27" spans="1:10">
      <c r="A2746" s="6">
        <f>2744</f>
        <v>2744</v>
      </c>
      <c r="B2746" s="6" t="s">
        <v>7317</v>
      </c>
      <c r="C2746" s="6" t="s">
        <v>12</v>
      </c>
      <c r="D2746" s="6" t="s">
        <v>6677</v>
      </c>
      <c r="E2746" s="6" t="s">
        <v>7235</v>
      </c>
      <c r="F2746" s="6" t="s">
        <v>7318</v>
      </c>
      <c r="G2746" s="6" t="s">
        <v>16</v>
      </c>
      <c r="H2746" s="5">
        <v>5</v>
      </c>
      <c r="I2746" s="6" t="s">
        <v>7319</v>
      </c>
      <c r="J2746" s="5">
        <v>1100</v>
      </c>
    </row>
    <row r="2747" s="2" customFormat="1" spans="1:10">
      <c r="A2747" s="6">
        <f>2745</f>
        <v>2745</v>
      </c>
      <c r="B2747" s="6" t="s">
        <v>7320</v>
      </c>
      <c r="C2747" s="6" t="s">
        <v>12</v>
      </c>
      <c r="D2747" s="6" t="s">
        <v>6677</v>
      </c>
      <c r="E2747" s="6" t="s">
        <v>7235</v>
      </c>
      <c r="F2747" s="6" t="s">
        <v>7321</v>
      </c>
      <c r="G2747" s="6" t="s">
        <v>16</v>
      </c>
      <c r="H2747" s="5">
        <v>1</v>
      </c>
      <c r="I2747" s="6" t="s">
        <v>7321</v>
      </c>
      <c r="J2747" s="5">
        <v>410</v>
      </c>
    </row>
    <row r="2748" s="2" customFormat="1" ht="27" spans="1:10">
      <c r="A2748" s="6">
        <f>2746</f>
        <v>2746</v>
      </c>
      <c r="B2748" s="6" t="s">
        <v>7322</v>
      </c>
      <c r="C2748" s="6" t="s">
        <v>12</v>
      </c>
      <c r="D2748" s="6" t="s">
        <v>6677</v>
      </c>
      <c r="E2748" s="6" t="s">
        <v>7235</v>
      </c>
      <c r="F2748" s="6" t="s">
        <v>7323</v>
      </c>
      <c r="G2748" s="6" t="s">
        <v>16</v>
      </c>
      <c r="H2748" s="5">
        <v>4</v>
      </c>
      <c r="I2748" s="6" t="s">
        <v>7324</v>
      </c>
      <c r="J2748" s="5">
        <v>1270</v>
      </c>
    </row>
    <row r="2749" s="2" customFormat="1" spans="1:10">
      <c r="A2749" s="6">
        <f>2747</f>
        <v>2747</v>
      </c>
      <c r="B2749" s="6" t="s">
        <v>7325</v>
      </c>
      <c r="C2749" s="6" t="s">
        <v>12</v>
      </c>
      <c r="D2749" s="6" t="s">
        <v>6677</v>
      </c>
      <c r="E2749" s="6" t="s">
        <v>7235</v>
      </c>
      <c r="F2749" s="6" t="s">
        <v>7326</v>
      </c>
      <c r="G2749" s="6" t="s">
        <v>16</v>
      </c>
      <c r="H2749" s="5">
        <v>1</v>
      </c>
      <c r="I2749" s="6" t="s">
        <v>7326</v>
      </c>
      <c r="J2749" s="5">
        <v>290</v>
      </c>
    </row>
    <row r="2750" s="2" customFormat="1" spans="1:10">
      <c r="A2750" s="6">
        <f>2748</f>
        <v>2748</v>
      </c>
      <c r="B2750" s="6" t="s">
        <v>7327</v>
      </c>
      <c r="C2750" s="6" t="s">
        <v>12</v>
      </c>
      <c r="D2750" s="6" t="s">
        <v>6677</v>
      </c>
      <c r="E2750" s="6" t="s">
        <v>7235</v>
      </c>
      <c r="F2750" s="6" t="s">
        <v>7328</v>
      </c>
      <c r="G2750" s="6" t="s">
        <v>16</v>
      </c>
      <c r="H2750" s="5">
        <v>1</v>
      </c>
      <c r="I2750" s="6" t="s">
        <v>7328</v>
      </c>
      <c r="J2750" s="5">
        <v>340</v>
      </c>
    </row>
    <row r="2751" s="2" customFormat="1" ht="27" spans="1:10">
      <c r="A2751" s="6">
        <f>2749</f>
        <v>2749</v>
      </c>
      <c r="B2751" s="6" t="s">
        <v>7329</v>
      </c>
      <c r="C2751" s="6" t="s">
        <v>12</v>
      </c>
      <c r="D2751" s="6" t="s">
        <v>6677</v>
      </c>
      <c r="E2751" s="6" t="s">
        <v>7235</v>
      </c>
      <c r="F2751" s="6" t="s">
        <v>7330</v>
      </c>
      <c r="G2751" s="6" t="s">
        <v>16</v>
      </c>
      <c r="H2751" s="5">
        <v>4</v>
      </c>
      <c r="I2751" s="6" t="s">
        <v>7331</v>
      </c>
      <c r="J2751" s="5">
        <v>990</v>
      </c>
    </row>
    <row r="2752" s="2" customFormat="1" spans="1:10">
      <c r="A2752" s="6">
        <f>2750</f>
        <v>2750</v>
      </c>
      <c r="B2752" s="6" t="s">
        <v>7332</v>
      </c>
      <c r="C2752" s="6" t="s">
        <v>12</v>
      </c>
      <c r="D2752" s="6" t="s">
        <v>6677</v>
      </c>
      <c r="E2752" s="6" t="s">
        <v>7235</v>
      </c>
      <c r="F2752" s="6" t="s">
        <v>7333</v>
      </c>
      <c r="G2752" s="6" t="s">
        <v>16</v>
      </c>
      <c r="H2752" s="5">
        <v>2</v>
      </c>
      <c r="I2752" s="6" t="s">
        <v>7334</v>
      </c>
      <c r="J2752" s="5">
        <v>280</v>
      </c>
    </row>
    <row r="2753" s="2" customFormat="1" spans="1:10">
      <c r="A2753" s="6">
        <f>2751</f>
        <v>2751</v>
      </c>
      <c r="B2753" s="6" t="s">
        <v>7335</v>
      </c>
      <c r="C2753" s="6" t="s">
        <v>12</v>
      </c>
      <c r="D2753" s="6" t="s">
        <v>6677</v>
      </c>
      <c r="E2753" s="6" t="s">
        <v>7235</v>
      </c>
      <c r="F2753" s="6" t="s">
        <v>7336</v>
      </c>
      <c r="G2753" s="6" t="s">
        <v>16</v>
      </c>
      <c r="H2753" s="5">
        <v>1</v>
      </c>
      <c r="I2753" s="6" t="s">
        <v>7336</v>
      </c>
      <c r="J2753" s="5">
        <v>240</v>
      </c>
    </row>
    <row r="2754" s="2" customFormat="1" spans="1:10">
      <c r="A2754" s="6">
        <f>2752</f>
        <v>2752</v>
      </c>
      <c r="B2754" s="6" t="s">
        <v>7337</v>
      </c>
      <c r="C2754" s="6" t="s">
        <v>12</v>
      </c>
      <c r="D2754" s="6" t="s">
        <v>6677</v>
      </c>
      <c r="E2754" s="6" t="s">
        <v>7235</v>
      </c>
      <c r="F2754" s="6" t="s">
        <v>7338</v>
      </c>
      <c r="G2754" s="6" t="s">
        <v>16</v>
      </c>
      <c r="H2754" s="5">
        <v>1</v>
      </c>
      <c r="I2754" s="6" t="s">
        <v>7338</v>
      </c>
      <c r="J2754" s="5">
        <v>340</v>
      </c>
    </row>
    <row r="2755" s="2" customFormat="1" spans="1:10">
      <c r="A2755" s="6">
        <f>2753</f>
        <v>2753</v>
      </c>
      <c r="B2755" s="6" t="s">
        <v>7339</v>
      </c>
      <c r="C2755" s="6" t="s">
        <v>12</v>
      </c>
      <c r="D2755" s="6" t="s">
        <v>6677</v>
      </c>
      <c r="E2755" s="6" t="s">
        <v>7235</v>
      </c>
      <c r="F2755" s="6" t="s">
        <v>7340</v>
      </c>
      <c r="G2755" s="6" t="s">
        <v>16</v>
      </c>
      <c r="H2755" s="5">
        <v>2</v>
      </c>
      <c r="I2755" s="6" t="s">
        <v>7341</v>
      </c>
      <c r="J2755" s="5">
        <v>680</v>
      </c>
    </row>
    <row r="2756" s="2" customFormat="1" spans="1:10">
      <c r="A2756" s="6">
        <f>2754</f>
        <v>2754</v>
      </c>
      <c r="B2756" s="6" t="s">
        <v>7342</v>
      </c>
      <c r="C2756" s="6" t="s">
        <v>12</v>
      </c>
      <c r="D2756" s="6" t="s">
        <v>6677</v>
      </c>
      <c r="E2756" s="6" t="s">
        <v>7235</v>
      </c>
      <c r="F2756" s="6" t="s">
        <v>7343</v>
      </c>
      <c r="G2756" s="6" t="s">
        <v>16</v>
      </c>
      <c r="H2756" s="5">
        <v>3</v>
      </c>
      <c r="I2756" s="6" t="s">
        <v>7344</v>
      </c>
      <c r="J2756" s="5">
        <v>760</v>
      </c>
    </row>
    <row r="2757" s="2" customFormat="1" ht="27" spans="1:10">
      <c r="A2757" s="6">
        <f>2755</f>
        <v>2755</v>
      </c>
      <c r="B2757" s="6" t="s">
        <v>7345</v>
      </c>
      <c r="C2757" s="6" t="s">
        <v>12</v>
      </c>
      <c r="D2757" s="6" t="s">
        <v>6677</v>
      </c>
      <c r="E2757" s="6" t="s">
        <v>7235</v>
      </c>
      <c r="F2757" s="6" t="s">
        <v>7346</v>
      </c>
      <c r="G2757" s="6" t="s">
        <v>16</v>
      </c>
      <c r="H2757" s="5">
        <v>5</v>
      </c>
      <c r="I2757" s="6" t="s">
        <v>7347</v>
      </c>
      <c r="J2757" s="5">
        <v>800</v>
      </c>
    </row>
    <row r="2758" s="2" customFormat="1" spans="1:10">
      <c r="A2758" s="6">
        <f>2756</f>
        <v>2756</v>
      </c>
      <c r="B2758" s="6" t="s">
        <v>7348</v>
      </c>
      <c r="C2758" s="6" t="s">
        <v>12</v>
      </c>
      <c r="D2758" s="6" t="s">
        <v>6677</v>
      </c>
      <c r="E2758" s="6" t="s">
        <v>7235</v>
      </c>
      <c r="F2758" s="6" t="s">
        <v>7349</v>
      </c>
      <c r="G2758" s="6" t="s">
        <v>16</v>
      </c>
      <c r="H2758" s="5">
        <v>2</v>
      </c>
      <c r="I2758" s="6" t="s">
        <v>7350</v>
      </c>
      <c r="J2758" s="5">
        <v>620</v>
      </c>
    </row>
    <row r="2759" s="2" customFormat="1" spans="1:10">
      <c r="A2759" s="6">
        <f>2757</f>
        <v>2757</v>
      </c>
      <c r="B2759" s="6" t="s">
        <v>7351</v>
      </c>
      <c r="C2759" s="6" t="s">
        <v>12</v>
      </c>
      <c r="D2759" s="6" t="s">
        <v>6677</v>
      </c>
      <c r="E2759" s="6" t="s">
        <v>7235</v>
      </c>
      <c r="F2759" s="6" t="s">
        <v>7352</v>
      </c>
      <c r="G2759" s="6" t="s">
        <v>16</v>
      </c>
      <c r="H2759" s="5">
        <v>3</v>
      </c>
      <c r="I2759" s="6" t="s">
        <v>7353</v>
      </c>
      <c r="J2759" s="5">
        <v>920</v>
      </c>
    </row>
    <row r="2760" s="2" customFormat="1" spans="1:10">
      <c r="A2760" s="6">
        <f>2758</f>
        <v>2758</v>
      </c>
      <c r="B2760" s="6" t="s">
        <v>7354</v>
      </c>
      <c r="C2760" s="6" t="s">
        <v>12</v>
      </c>
      <c r="D2760" s="6" t="s">
        <v>6677</v>
      </c>
      <c r="E2760" s="6" t="s">
        <v>7235</v>
      </c>
      <c r="F2760" s="6" t="s">
        <v>7355</v>
      </c>
      <c r="G2760" s="6" t="s">
        <v>16</v>
      </c>
      <c r="H2760" s="5">
        <v>1</v>
      </c>
      <c r="I2760" s="6" t="s">
        <v>7355</v>
      </c>
      <c r="J2760" s="5">
        <v>260</v>
      </c>
    </row>
    <row r="2761" s="2" customFormat="1" spans="1:10">
      <c r="A2761" s="6">
        <f>2759</f>
        <v>2759</v>
      </c>
      <c r="B2761" s="6" t="s">
        <v>7356</v>
      </c>
      <c r="C2761" s="6" t="s">
        <v>12</v>
      </c>
      <c r="D2761" s="6" t="s">
        <v>6677</v>
      </c>
      <c r="E2761" s="6" t="s">
        <v>7235</v>
      </c>
      <c r="F2761" s="6" t="s">
        <v>7357</v>
      </c>
      <c r="G2761" s="6" t="s">
        <v>16</v>
      </c>
      <c r="H2761" s="5">
        <v>3</v>
      </c>
      <c r="I2761" s="6" t="s">
        <v>7358</v>
      </c>
      <c r="J2761" s="5">
        <v>640</v>
      </c>
    </row>
    <row r="2762" s="2" customFormat="1" ht="27" spans="1:10">
      <c r="A2762" s="6">
        <f>2760</f>
        <v>2760</v>
      </c>
      <c r="B2762" s="6" t="s">
        <v>7359</v>
      </c>
      <c r="C2762" s="6" t="s">
        <v>12</v>
      </c>
      <c r="D2762" s="6" t="s">
        <v>6677</v>
      </c>
      <c r="E2762" s="6" t="s">
        <v>7235</v>
      </c>
      <c r="F2762" s="6" t="s">
        <v>7360</v>
      </c>
      <c r="G2762" s="6" t="s">
        <v>16</v>
      </c>
      <c r="H2762" s="5">
        <v>5</v>
      </c>
      <c r="I2762" s="6" t="s">
        <v>7361</v>
      </c>
      <c r="J2762" s="5">
        <v>760</v>
      </c>
    </row>
    <row r="2763" s="2" customFormat="1" spans="1:10">
      <c r="A2763" s="6">
        <f>2761</f>
        <v>2761</v>
      </c>
      <c r="B2763" s="6" t="s">
        <v>7362</v>
      </c>
      <c r="C2763" s="6" t="s">
        <v>12</v>
      </c>
      <c r="D2763" s="6" t="s">
        <v>6677</v>
      </c>
      <c r="E2763" s="6" t="s">
        <v>7235</v>
      </c>
      <c r="F2763" s="6" t="s">
        <v>7363</v>
      </c>
      <c r="G2763" s="6" t="s">
        <v>16</v>
      </c>
      <c r="H2763" s="5">
        <v>3</v>
      </c>
      <c r="I2763" s="6" t="s">
        <v>7364</v>
      </c>
      <c r="J2763" s="5">
        <v>570</v>
      </c>
    </row>
    <row r="2764" s="2" customFormat="1" ht="27" spans="1:10">
      <c r="A2764" s="6">
        <f>2762</f>
        <v>2762</v>
      </c>
      <c r="B2764" s="6" t="s">
        <v>7365</v>
      </c>
      <c r="C2764" s="6" t="s">
        <v>12</v>
      </c>
      <c r="D2764" s="6" t="s">
        <v>6677</v>
      </c>
      <c r="E2764" s="6" t="s">
        <v>7235</v>
      </c>
      <c r="F2764" s="6" t="s">
        <v>7366</v>
      </c>
      <c r="G2764" s="6" t="s">
        <v>16</v>
      </c>
      <c r="H2764" s="5">
        <v>4</v>
      </c>
      <c r="I2764" s="6" t="s">
        <v>7367</v>
      </c>
      <c r="J2764" s="5">
        <v>960</v>
      </c>
    </row>
    <row r="2765" s="2" customFormat="1" spans="1:10">
      <c r="A2765" s="6">
        <f>2763</f>
        <v>2763</v>
      </c>
      <c r="B2765" s="6" t="s">
        <v>7368</v>
      </c>
      <c r="C2765" s="6" t="s">
        <v>12</v>
      </c>
      <c r="D2765" s="6" t="s">
        <v>6677</v>
      </c>
      <c r="E2765" s="6" t="s">
        <v>7235</v>
      </c>
      <c r="F2765" s="6" t="s">
        <v>7369</v>
      </c>
      <c r="G2765" s="6" t="s">
        <v>16</v>
      </c>
      <c r="H2765" s="5">
        <v>1</v>
      </c>
      <c r="I2765" s="6" t="s">
        <v>7369</v>
      </c>
      <c r="J2765" s="5">
        <v>440</v>
      </c>
    </row>
    <row r="2766" s="2" customFormat="1" spans="1:10">
      <c r="A2766" s="6">
        <f>2764</f>
        <v>2764</v>
      </c>
      <c r="B2766" s="6" t="s">
        <v>7370</v>
      </c>
      <c r="C2766" s="6" t="s">
        <v>12</v>
      </c>
      <c r="D2766" s="6" t="s">
        <v>6677</v>
      </c>
      <c r="E2766" s="6" t="s">
        <v>7235</v>
      </c>
      <c r="F2766" s="6" t="s">
        <v>7371</v>
      </c>
      <c r="G2766" s="6" t="s">
        <v>16</v>
      </c>
      <c r="H2766" s="5">
        <v>1</v>
      </c>
      <c r="I2766" s="6" t="s">
        <v>7371</v>
      </c>
      <c r="J2766" s="5">
        <v>540</v>
      </c>
    </row>
    <row r="2767" s="2" customFormat="1" spans="1:10">
      <c r="A2767" s="6">
        <f>2765</f>
        <v>2765</v>
      </c>
      <c r="B2767" s="6" t="s">
        <v>7372</v>
      </c>
      <c r="C2767" s="6" t="s">
        <v>12</v>
      </c>
      <c r="D2767" s="6" t="s">
        <v>6677</v>
      </c>
      <c r="E2767" s="6" t="s">
        <v>7235</v>
      </c>
      <c r="F2767" s="6" t="s">
        <v>7373</v>
      </c>
      <c r="G2767" s="6" t="s">
        <v>16</v>
      </c>
      <c r="H2767" s="5">
        <v>1</v>
      </c>
      <c r="I2767" s="6" t="s">
        <v>7373</v>
      </c>
      <c r="J2767" s="5">
        <v>240</v>
      </c>
    </row>
    <row r="2768" s="2" customFormat="1" spans="1:10">
      <c r="A2768" s="6">
        <f>2766</f>
        <v>2766</v>
      </c>
      <c r="B2768" s="6" t="s">
        <v>7374</v>
      </c>
      <c r="C2768" s="6" t="s">
        <v>12</v>
      </c>
      <c r="D2768" s="6" t="s">
        <v>6677</v>
      </c>
      <c r="E2768" s="6" t="s">
        <v>7235</v>
      </c>
      <c r="F2768" s="6" t="s">
        <v>7375</v>
      </c>
      <c r="G2768" s="6" t="s">
        <v>16</v>
      </c>
      <c r="H2768" s="5">
        <v>2</v>
      </c>
      <c r="I2768" s="6" t="s">
        <v>7376</v>
      </c>
      <c r="J2768" s="5">
        <v>680</v>
      </c>
    </row>
    <row r="2769" s="2" customFormat="1" spans="1:10">
      <c r="A2769" s="6">
        <f>2767</f>
        <v>2767</v>
      </c>
      <c r="B2769" s="6" t="s">
        <v>7377</v>
      </c>
      <c r="C2769" s="6" t="s">
        <v>12</v>
      </c>
      <c r="D2769" s="6" t="s">
        <v>6677</v>
      </c>
      <c r="E2769" s="6" t="s">
        <v>7235</v>
      </c>
      <c r="F2769" s="6" t="s">
        <v>7378</v>
      </c>
      <c r="G2769" s="6" t="s">
        <v>16</v>
      </c>
      <c r="H2769" s="5">
        <v>2</v>
      </c>
      <c r="I2769" s="6" t="s">
        <v>7379</v>
      </c>
      <c r="J2769" s="5">
        <v>780</v>
      </c>
    </row>
    <row r="2770" s="2" customFormat="1" spans="1:10">
      <c r="A2770" s="6">
        <f>2768</f>
        <v>2768</v>
      </c>
      <c r="B2770" s="6" t="s">
        <v>7380</v>
      </c>
      <c r="C2770" s="6" t="s">
        <v>12</v>
      </c>
      <c r="D2770" s="6" t="s">
        <v>6677</v>
      </c>
      <c r="E2770" s="6" t="s">
        <v>7235</v>
      </c>
      <c r="F2770" s="6" t="s">
        <v>7381</v>
      </c>
      <c r="G2770" s="6" t="s">
        <v>16</v>
      </c>
      <c r="H2770" s="5">
        <v>2</v>
      </c>
      <c r="I2770" s="6" t="s">
        <v>7382</v>
      </c>
      <c r="J2770" s="5">
        <v>334</v>
      </c>
    </row>
    <row r="2771" s="2" customFormat="1" spans="1:10">
      <c r="A2771" s="6">
        <f>2769</f>
        <v>2769</v>
      </c>
      <c r="B2771" s="6" t="s">
        <v>7383</v>
      </c>
      <c r="C2771" s="6" t="s">
        <v>12</v>
      </c>
      <c r="D2771" s="6" t="s">
        <v>6677</v>
      </c>
      <c r="E2771" s="6" t="s">
        <v>7235</v>
      </c>
      <c r="F2771" s="6" t="s">
        <v>7384</v>
      </c>
      <c r="G2771" s="6" t="s">
        <v>16</v>
      </c>
      <c r="H2771" s="5">
        <v>1</v>
      </c>
      <c r="I2771" s="6" t="s">
        <v>7384</v>
      </c>
      <c r="J2771" s="5">
        <v>440</v>
      </c>
    </row>
    <row r="2772" s="2" customFormat="1" spans="1:10">
      <c r="A2772" s="6">
        <f>2770</f>
        <v>2770</v>
      </c>
      <c r="B2772" s="6" t="s">
        <v>7385</v>
      </c>
      <c r="C2772" s="6" t="s">
        <v>12</v>
      </c>
      <c r="D2772" s="6" t="s">
        <v>6677</v>
      </c>
      <c r="E2772" s="6" t="s">
        <v>7235</v>
      </c>
      <c r="F2772" s="6" t="s">
        <v>7386</v>
      </c>
      <c r="G2772" s="6" t="s">
        <v>16</v>
      </c>
      <c r="H2772" s="5">
        <v>1</v>
      </c>
      <c r="I2772" s="6" t="s">
        <v>7386</v>
      </c>
      <c r="J2772" s="5">
        <v>440</v>
      </c>
    </row>
    <row r="2773" s="2" customFormat="1" spans="1:10">
      <c r="A2773" s="6">
        <f>2771</f>
        <v>2771</v>
      </c>
      <c r="B2773" s="6" t="s">
        <v>7387</v>
      </c>
      <c r="C2773" s="6" t="s">
        <v>12</v>
      </c>
      <c r="D2773" s="6" t="s">
        <v>6677</v>
      </c>
      <c r="E2773" s="6" t="s">
        <v>7235</v>
      </c>
      <c r="F2773" s="6" t="s">
        <v>7388</v>
      </c>
      <c r="G2773" s="6" t="s">
        <v>16</v>
      </c>
      <c r="H2773" s="5">
        <v>3</v>
      </c>
      <c r="I2773" s="6" t="s">
        <v>7389</v>
      </c>
      <c r="J2773" s="5">
        <v>680</v>
      </c>
    </row>
    <row r="2774" s="2" customFormat="1" spans="1:10">
      <c r="A2774" s="6">
        <f>2772</f>
        <v>2772</v>
      </c>
      <c r="B2774" s="6" t="s">
        <v>7390</v>
      </c>
      <c r="C2774" s="6" t="s">
        <v>12</v>
      </c>
      <c r="D2774" s="6" t="s">
        <v>6677</v>
      </c>
      <c r="E2774" s="6" t="s">
        <v>7235</v>
      </c>
      <c r="F2774" s="6" t="s">
        <v>7391</v>
      </c>
      <c r="G2774" s="6" t="s">
        <v>16</v>
      </c>
      <c r="H2774" s="5">
        <v>1</v>
      </c>
      <c r="I2774" s="6" t="s">
        <v>7391</v>
      </c>
      <c r="J2774" s="5">
        <v>270</v>
      </c>
    </row>
    <row r="2775" s="2" customFormat="1" spans="1:10">
      <c r="A2775" s="6">
        <f>2773</f>
        <v>2773</v>
      </c>
      <c r="B2775" s="6" t="s">
        <v>7392</v>
      </c>
      <c r="C2775" s="6" t="s">
        <v>12</v>
      </c>
      <c r="D2775" s="6" t="s">
        <v>6677</v>
      </c>
      <c r="E2775" s="6" t="s">
        <v>7235</v>
      </c>
      <c r="F2775" s="6" t="s">
        <v>7393</v>
      </c>
      <c r="G2775" s="6" t="s">
        <v>16</v>
      </c>
      <c r="H2775" s="5">
        <v>1</v>
      </c>
      <c r="I2775" s="6" t="s">
        <v>7393</v>
      </c>
      <c r="J2775" s="5">
        <v>340</v>
      </c>
    </row>
    <row r="2776" s="2" customFormat="1" spans="1:10">
      <c r="A2776" s="6">
        <f>2774</f>
        <v>2774</v>
      </c>
      <c r="B2776" s="6" t="s">
        <v>7394</v>
      </c>
      <c r="C2776" s="6" t="s">
        <v>12</v>
      </c>
      <c r="D2776" s="6" t="s">
        <v>6677</v>
      </c>
      <c r="E2776" s="6" t="s">
        <v>7235</v>
      </c>
      <c r="F2776" s="6" t="s">
        <v>7395</v>
      </c>
      <c r="G2776" s="6" t="s">
        <v>16</v>
      </c>
      <c r="H2776" s="5">
        <v>2</v>
      </c>
      <c r="I2776" s="6" t="s">
        <v>7396</v>
      </c>
      <c r="J2776" s="5">
        <v>520</v>
      </c>
    </row>
    <row r="2777" s="2" customFormat="1" spans="1:10">
      <c r="A2777" s="6">
        <f>2775</f>
        <v>2775</v>
      </c>
      <c r="B2777" s="6" t="s">
        <v>7397</v>
      </c>
      <c r="C2777" s="6" t="s">
        <v>12</v>
      </c>
      <c r="D2777" s="6" t="s">
        <v>6677</v>
      </c>
      <c r="E2777" s="6" t="s">
        <v>7235</v>
      </c>
      <c r="F2777" s="6" t="s">
        <v>7398</v>
      </c>
      <c r="G2777" s="6" t="s">
        <v>16</v>
      </c>
      <c r="H2777" s="5">
        <v>1</v>
      </c>
      <c r="I2777" s="6" t="s">
        <v>7398</v>
      </c>
      <c r="J2777" s="5">
        <v>275</v>
      </c>
    </row>
    <row r="2778" s="2" customFormat="1" spans="1:10">
      <c r="A2778" s="6">
        <f>2776</f>
        <v>2776</v>
      </c>
      <c r="B2778" s="6" t="s">
        <v>7399</v>
      </c>
      <c r="C2778" s="6" t="s">
        <v>12</v>
      </c>
      <c r="D2778" s="6" t="s">
        <v>6677</v>
      </c>
      <c r="E2778" s="6" t="s">
        <v>7235</v>
      </c>
      <c r="F2778" s="6" t="s">
        <v>7400</v>
      </c>
      <c r="G2778" s="6" t="s">
        <v>16</v>
      </c>
      <c r="H2778" s="5">
        <v>1</v>
      </c>
      <c r="I2778" s="6" t="s">
        <v>7400</v>
      </c>
      <c r="J2778" s="5">
        <v>440</v>
      </c>
    </row>
    <row r="2779" s="2" customFormat="1" spans="1:10">
      <c r="A2779" s="6">
        <f>2777</f>
        <v>2777</v>
      </c>
      <c r="B2779" s="6" t="s">
        <v>7401</v>
      </c>
      <c r="C2779" s="6" t="s">
        <v>12</v>
      </c>
      <c r="D2779" s="6" t="s">
        <v>6677</v>
      </c>
      <c r="E2779" s="6" t="s">
        <v>7235</v>
      </c>
      <c r="F2779" s="6" t="s">
        <v>7402</v>
      </c>
      <c r="G2779" s="6" t="s">
        <v>16</v>
      </c>
      <c r="H2779" s="5">
        <v>1</v>
      </c>
      <c r="I2779" s="6" t="s">
        <v>7402</v>
      </c>
      <c r="J2779" s="5">
        <v>270</v>
      </c>
    </row>
    <row r="2780" s="2" customFormat="1" ht="27" spans="1:10">
      <c r="A2780" s="6">
        <f>2778</f>
        <v>2778</v>
      </c>
      <c r="B2780" s="6" t="s">
        <v>7403</v>
      </c>
      <c r="C2780" s="6" t="s">
        <v>12</v>
      </c>
      <c r="D2780" s="6" t="s">
        <v>6677</v>
      </c>
      <c r="E2780" s="6" t="s">
        <v>7235</v>
      </c>
      <c r="F2780" s="6" t="s">
        <v>7404</v>
      </c>
      <c r="G2780" s="6" t="s">
        <v>16</v>
      </c>
      <c r="H2780" s="5">
        <v>4</v>
      </c>
      <c r="I2780" s="6" t="s">
        <v>7405</v>
      </c>
      <c r="J2780" s="5">
        <v>1890</v>
      </c>
    </row>
    <row r="2781" s="2" customFormat="1" spans="1:10">
      <c r="A2781" s="6">
        <f>2779</f>
        <v>2779</v>
      </c>
      <c r="B2781" s="6" t="s">
        <v>7406</v>
      </c>
      <c r="C2781" s="6" t="s">
        <v>12</v>
      </c>
      <c r="D2781" s="6" t="s">
        <v>6677</v>
      </c>
      <c r="E2781" s="6" t="s">
        <v>7235</v>
      </c>
      <c r="F2781" s="6" t="s">
        <v>7407</v>
      </c>
      <c r="G2781" s="6" t="s">
        <v>16</v>
      </c>
      <c r="H2781" s="5">
        <v>1</v>
      </c>
      <c r="I2781" s="6" t="s">
        <v>7407</v>
      </c>
      <c r="J2781" s="5">
        <v>460</v>
      </c>
    </row>
    <row r="2782" s="2" customFormat="1" spans="1:10">
      <c r="A2782" s="6">
        <f>2780</f>
        <v>2780</v>
      </c>
      <c r="B2782" s="6" t="s">
        <v>7408</v>
      </c>
      <c r="C2782" s="6" t="s">
        <v>12</v>
      </c>
      <c r="D2782" s="6" t="s">
        <v>6677</v>
      </c>
      <c r="E2782" s="6" t="s">
        <v>7235</v>
      </c>
      <c r="F2782" s="6" t="s">
        <v>7409</v>
      </c>
      <c r="G2782" s="6" t="s">
        <v>16</v>
      </c>
      <c r="H2782" s="5">
        <v>2</v>
      </c>
      <c r="I2782" s="6" t="s">
        <v>7410</v>
      </c>
      <c r="J2782" s="5">
        <v>380</v>
      </c>
    </row>
    <row r="2783" s="2" customFormat="1" spans="1:10">
      <c r="A2783" s="6">
        <f>2781</f>
        <v>2781</v>
      </c>
      <c r="B2783" s="6" t="s">
        <v>7411</v>
      </c>
      <c r="C2783" s="6" t="s">
        <v>12</v>
      </c>
      <c r="D2783" s="6" t="s">
        <v>6677</v>
      </c>
      <c r="E2783" s="6" t="s">
        <v>7235</v>
      </c>
      <c r="F2783" s="6" t="s">
        <v>7412</v>
      </c>
      <c r="G2783" s="6" t="s">
        <v>16</v>
      </c>
      <c r="H2783" s="5">
        <v>1</v>
      </c>
      <c r="I2783" s="6" t="s">
        <v>7412</v>
      </c>
      <c r="J2783" s="5">
        <v>440</v>
      </c>
    </row>
    <row r="2784" s="2" customFormat="1" ht="27" spans="1:10">
      <c r="A2784" s="6">
        <f>2782</f>
        <v>2782</v>
      </c>
      <c r="B2784" s="6" t="s">
        <v>7413</v>
      </c>
      <c r="C2784" s="6" t="s">
        <v>12</v>
      </c>
      <c r="D2784" s="6" t="s">
        <v>6677</v>
      </c>
      <c r="E2784" s="6" t="s">
        <v>7235</v>
      </c>
      <c r="F2784" s="6" t="s">
        <v>7414</v>
      </c>
      <c r="G2784" s="6" t="s">
        <v>16</v>
      </c>
      <c r="H2784" s="5">
        <v>4</v>
      </c>
      <c r="I2784" s="6" t="s">
        <v>7415</v>
      </c>
      <c r="J2784" s="5">
        <v>920</v>
      </c>
    </row>
    <row r="2785" s="2" customFormat="1" spans="1:10">
      <c r="A2785" s="6">
        <f>2783</f>
        <v>2783</v>
      </c>
      <c r="B2785" s="6" t="s">
        <v>7416</v>
      </c>
      <c r="C2785" s="6" t="s">
        <v>12</v>
      </c>
      <c r="D2785" s="6" t="s">
        <v>6677</v>
      </c>
      <c r="E2785" s="6" t="s">
        <v>7235</v>
      </c>
      <c r="F2785" s="6" t="s">
        <v>7417</v>
      </c>
      <c r="G2785" s="6" t="s">
        <v>16</v>
      </c>
      <c r="H2785" s="5">
        <v>2</v>
      </c>
      <c r="I2785" s="6" t="s">
        <v>7418</v>
      </c>
      <c r="J2785" s="5">
        <v>360</v>
      </c>
    </row>
    <row r="2786" s="2" customFormat="1" spans="1:10">
      <c r="A2786" s="6">
        <f>2784</f>
        <v>2784</v>
      </c>
      <c r="B2786" s="6" t="s">
        <v>7419</v>
      </c>
      <c r="C2786" s="6" t="s">
        <v>12</v>
      </c>
      <c r="D2786" s="6" t="s">
        <v>6677</v>
      </c>
      <c r="E2786" s="6" t="s">
        <v>7235</v>
      </c>
      <c r="F2786" s="6" t="s">
        <v>7420</v>
      </c>
      <c r="G2786" s="6" t="s">
        <v>16</v>
      </c>
      <c r="H2786" s="5">
        <v>1</v>
      </c>
      <c r="I2786" s="6" t="s">
        <v>7420</v>
      </c>
      <c r="J2786" s="5">
        <v>270</v>
      </c>
    </row>
    <row r="2787" s="2" customFormat="1" spans="1:10">
      <c r="A2787" s="6">
        <f>2785</f>
        <v>2785</v>
      </c>
      <c r="B2787" s="6" t="s">
        <v>7421</v>
      </c>
      <c r="C2787" s="6" t="s">
        <v>12</v>
      </c>
      <c r="D2787" s="6" t="s">
        <v>6677</v>
      </c>
      <c r="E2787" s="6" t="s">
        <v>7235</v>
      </c>
      <c r="F2787" s="6" t="s">
        <v>7422</v>
      </c>
      <c r="G2787" s="6" t="s">
        <v>16</v>
      </c>
      <c r="H2787" s="5">
        <v>1</v>
      </c>
      <c r="I2787" s="6" t="s">
        <v>7422</v>
      </c>
      <c r="J2787" s="5">
        <v>285</v>
      </c>
    </row>
    <row r="2788" s="2" customFormat="1" spans="1:10">
      <c r="A2788" s="6">
        <f>2786</f>
        <v>2786</v>
      </c>
      <c r="B2788" s="6" t="s">
        <v>7423</v>
      </c>
      <c r="C2788" s="6" t="s">
        <v>12</v>
      </c>
      <c r="D2788" s="6" t="s">
        <v>6677</v>
      </c>
      <c r="E2788" s="6" t="s">
        <v>7235</v>
      </c>
      <c r="F2788" s="6" t="s">
        <v>7424</v>
      </c>
      <c r="G2788" s="6" t="s">
        <v>16</v>
      </c>
      <c r="H2788" s="5">
        <v>1</v>
      </c>
      <c r="I2788" s="6" t="s">
        <v>7424</v>
      </c>
      <c r="J2788" s="5">
        <v>275</v>
      </c>
    </row>
    <row r="2789" s="2" customFormat="1" spans="1:10">
      <c r="A2789" s="6">
        <f>2787</f>
        <v>2787</v>
      </c>
      <c r="B2789" s="6" t="s">
        <v>7425</v>
      </c>
      <c r="C2789" s="6" t="s">
        <v>12</v>
      </c>
      <c r="D2789" s="6" t="s">
        <v>6677</v>
      </c>
      <c r="E2789" s="6" t="s">
        <v>7235</v>
      </c>
      <c r="F2789" s="6" t="s">
        <v>7426</v>
      </c>
      <c r="G2789" s="6" t="s">
        <v>16</v>
      </c>
      <c r="H2789" s="5">
        <v>1</v>
      </c>
      <c r="I2789" s="6" t="s">
        <v>7426</v>
      </c>
      <c r="J2789" s="5">
        <v>300</v>
      </c>
    </row>
    <row r="2790" s="2" customFormat="1" spans="1:10">
      <c r="A2790" s="6">
        <f>2788</f>
        <v>2788</v>
      </c>
      <c r="B2790" s="6" t="s">
        <v>7427</v>
      </c>
      <c r="C2790" s="6" t="s">
        <v>12</v>
      </c>
      <c r="D2790" s="6" t="s">
        <v>6677</v>
      </c>
      <c r="E2790" s="6" t="s">
        <v>7235</v>
      </c>
      <c r="F2790" s="6" t="s">
        <v>7428</v>
      </c>
      <c r="G2790" s="6" t="s">
        <v>16</v>
      </c>
      <c r="H2790" s="5">
        <v>3</v>
      </c>
      <c r="I2790" s="6" t="s">
        <v>7429</v>
      </c>
      <c r="J2790" s="5">
        <v>580</v>
      </c>
    </row>
    <row r="2791" s="2" customFormat="1" spans="1:10">
      <c r="A2791" s="6">
        <f>2789</f>
        <v>2789</v>
      </c>
      <c r="B2791" s="6" t="s">
        <v>7430</v>
      </c>
      <c r="C2791" s="6" t="s">
        <v>12</v>
      </c>
      <c r="D2791" s="6" t="s">
        <v>6677</v>
      </c>
      <c r="E2791" s="6" t="s">
        <v>7235</v>
      </c>
      <c r="F2791" s="6" t="s">
        <v>7431</v>
      </c>
      <c r="G2791" s="6" t="s">
        <v>16</v>
      </c>
      <c r="H2791" s="5">
        <v>3</v>
      </c>
      <c r="I2791" s="6" t="s">
        <v>7432</v>
      </c>
      <c r="J2791" s="5">
        <v>710</v>
      </c>
    </row>
    <row r="2792" s="2" customFormat="1" spans="1:10">
      <c r="A2792" s="6">
        <f>2790</f>
        <v>2790</v>
      </c>
      <c r="B2792" s="6" t="s">
        <v>7433</v>
      </c>
      <c r="C2792" s="6" t="s">
        <v>12</v>
      </c>
      <c r="D2792" s="6" t="s">
        <v>6677</v>
      </c>
      <c r="E2792" s="6" t="s">
        <v>7235</v>
      </c>
      <c r="F2792" s="6" t="s">
        <v>7434</v>
      </c>
      <c r="G2792" s="6" t="s">
        <v>16</v>
      </c>
      <c r="H2792" s="5">
        <v>3</v>
      </c>
      <c r="I2792" s="6" t="s">
        <v>7435</v>
      </c>
      <c r="J2792" s="5">
        <v>436</v>
      </c>
    </row>
    <row r="2793" s="2" customFormat="1" spans="1:10">
      <c r="A2793" s="6">
        <f>2791</f>
        <v>2791</v>
      </c>
      <c r="B2793" s="6" t="s">
        <v>7436</v>
      </c>
      <c r="C2793" s="6" t="s">
        <v>12</v>
      </c>
      <c r="D2793" s="6" t="s">
        <v>6677</v>
      </c>
      <c r="E2793" s="6" t="s">
        <v>7235</v>
      </c>
      <c r="F2793" s="6" t="s">
        <v>7437</v>
      </c>
      <c r="G2793" s="6" t="s">
        <v>16</v>
      </c>
      <c r="H2793" s="5">
        <v>3</v>
      </c>
      <c r="I2793" s="6" t="s">
        <v>7438</v>
      </c>
      <c r="J2793" s="5">
        <v>680</v>
      </c>
    </row>
    <row r="2794" s="2" customFormat="1" spans="1:10">
      <c r="A2794" s="6">
        <f>2792</f>
        <v>2792</v>
      </c>
      <c r="B2794" s="6" t="s">
        <v>7439</v>
      </c>
      <c r="C2794" s="6" t="s">
        <v>12</v>
      </c>
      <c r="D2794" s="6" t="s">
        <v>6677</v>
      </c>
      <c r="E2794" s="6" t="s">
        <v>7235</v>
      </c>
      <c r="F2794" s="6" t="s">
        <v>7440</v>
      </c>
      <c r="G2794" s="6" t="s">
        <v>16</v>
      </c>
      <c r="H2794" s="5">
        <v>2</v>
      </c>
      <c r="I2794" s="6" t="s">
        <v>7441</v>
      </c>
      <c r="J2794" s="5">
        <v>470</v>
      </c>
    </row>
    <row r="2795" s="2" customFormat="1" spans="1:10">
      <c r="A2795" s="6">
        <f>2793</f>
        <v>2793</v>
      </c>
      <c r="B2795" s="6" t="s">
        <v>7442</v>
      </c>
      <c r="C2795" s="6" t="s">
        <v>12</v>
      </c>
      <c r="D2795" s="6" t="s">
        <v>6677</v>
      </c>
      <c r="E2795" s="6" t="s">
        <v>7235</v>
      </c>
      <c r="F2795" s="6" t="s">
        <v>7443</v>
      </c>
      <c r="G2795" s="6" t="s">
        <v>16</v>
      </c>
      <c r="H2795" s="5">
        <v>1</v>
      </c>
      <c r="I2795" s="6" t="s">
        <v>7443</v>
      </c>
      <c r="J2795" s="5">
        <v>285</v>
      </c>
    </row>
    <row r="2796" s="2" customFormat="1" spans="1:10">
      <c r="A2796" s="6">
        <f>2794</f>
        <v>2794</v>
      </c>
      <c r="B2796" s="6" t="s">
        <v>7444</v>
      </c>
      <c r="C2796" s="6" t="s">
        <v>12</v>
      </c>
      <c r="D2796" s="6" t="s">
        <v>6677</v>
      </c>
      <c r="E2796" s="6" t="s">
        <v>7235</v>
      </c>
      <c r="F2796" s="6" t="s">
        <v>7445</v>
      </c>
      <c r="G2796" s="6" t="s">
        <v>16</v>
      </c>
      <c r="H2796" s="5">
        <v>1</v>
      </c>
      <c r="I2796" s="6" t="s">
        <v>7445</v>
      </c>
      <c r="J2796" s="5">
        <v>440</v>
      </c>
    </row>
    <row r="2797" s="2" customFormat="1" spans="1:10">
      <c r="A2797" s="6">
        <f>2795</f>
        <v>2795</v>
      </c>
      <c r="B2797" s="6" t="s">
        <v>7446</v>
      </c>
      <c r="C2797" s="6" t="s">
        <v>12</v>
      </c>
      <c r="D2797" s="6" t="s">
        <v>6677</v>
      </c>
      <c r="E2797" s="6" t="s">
        <v>7235</v>
      </c>
      <c r="F2797" s="6" t="s">
        <v>7447</v>
      </c>
      <c r="G2797" s="6" t="s">
        <v>16</v>
      </c>
      <c r="H2797" s="5">
        <v>2</v>
      </c>
      <c r="I2797" s="6" t="s">
        <v>7448</v>
      </c>
      <c r="J2797" s="5">
        <v>540</v>
      </c>
    </row>
    <row r="2798" s="2" customFormat="1" ht="27" spans="1:10">
      <c r="A2798" s="6">
        <f>2796</f>
        <v>2796</v>
      </c>
      <c r="B2798" s="6" t="s">
        <v>7449</v>
      </c>
      <c r="C2798" s="6" t="s">
        <v>12</v>
      </c>
      <c r="D2798" s="6" t="s">
        <v>6677</v>
      </c>
      <c r="E2798" s="6" t="s">
        <v>7235</v>
      </c>
      <c r="F2798" s="6" t="s">
        <v>1993</v>
      </c>
      <c r="G2798" s="6" t="s">
        <v>16</v>
      </c>
      <c r="H2798" s="5">
        <v>5</v>
      </c>
      <c r="I2798" s="6" t="s">
        <v>7450</v>
      </c>
      <c r="J2798" s="5">
        <v>850</v>
      </c>
    </row>
    <row r="2799" s="2" customFormat="1" spans="1:10">
      <c r="A2799" s="6">
        <f>2797</f>
        <v>2797</v>
      </c>
      <c r="B2799" s="6" t="s">
        <v>7451</v>
      </c>
      <c r="C2799" s="6" t="s">
        <v>12</v>
      </c>
      <c r="D2799" s="6" t="s">
        <v>6677</v>
      </c>
      <c r="E2799" s="6" t="s">
        <v>7235</v>
      </c>
      <c r="F2799" s="6" t="s">
        <v>7452</v>
      </c>
      <c r="G2799" s="6" t="s">
        <v>16</v>
      </c>
      <c r="H2799" s="5">
        <v>2</v>
      </c>
      <c r="I2799" s="6" t="s">
        <v>7453</v>
      </c>
      <c r="J2799" s="5">
        <v>510</v>
      </c>
    </row>
    <row r="2800" s="2" customFormat="1" spans="1:10">
      <c r="A2800" s="6">
        <f>2798</f>
        <v>2798</v>
      </c>
      <c r="B2800" s="6" t="s">
        <v>7454</v>
      </c>
      <c r="C2800" s="6" t="s">
        <v>12</v>
      </c>
      <c r="D2800" s="6" t="s">
        <v>6677</v>
      </c>
      <c r="E2800" s="6" t="s">
        <v>7235</v>
      </c>
      <c r="F2800" s="6" t="s">
        <v>7455</v>
      </c>
      <c r="G2800" s="6" t="s">
        <v>16</v>
      </c>
      <c r="H2800" s="5">
        <v>1</v>
      </c>
      <c r="I2800" s="6" t="s">
        <v>7455</v>
      </c>
      <c r="J2800" s="5">
        <v>245</v>
      </c>
    </row>
    <row r="2801" s="2" customFormat="1" ht="27" spans="1:10">
      <c r="A2801" s="6">
        <f>2799</f>
        <v>2799</v>
      </c>
      <c r="B2801" s="6" t="s">
        <v>7456</v>
      </c>
      <c r="C2801" s="6" t="s">
        <v>12</v>
      </c>
      <c r="D2801" s="6" t="s">
        <v>6677</v>
      </c>
      <c r="E2801" s="6" t="s">
        <v>7235</v>
      </c>
      <c r="F2801" s="6" t="s">
        <v>7457</v>
      </c>
      <c r="G2801" s="6" t="s">
        <v>16</v>
      </c>
      <c r="H2801" s="5">
        <v>5</v>
      </c>
      <c r="I2801" s="6" t="s">
        <v>7458</v>
      </c>
      <c r="J2801" s="5">
        <v>950</v>
      </c>
    </row>
    <row r="2802" s="2" customFormat="1" spans="1:10">
      <c r="A2802" s="6">
        <f>2800</f>
        <v>2800</v>
      </c>
      <c r="B2802" s="6" t="s">
        <v>7459</v>
      </c>
      <c r="C2802" s="6" t="s">
        <v>12</v>
      </c>
      <c r="D2802" s="6" t="s">
        <v>6677</v>
      </c>
      <c r="E2802" s="6" t="s">
        <v>7235</v>
      </c>
      <c r="F2802" s="6" t="s">
        <v>7460</v>
      </c>
      <c r="G2802" s="6" t="s">
        <v>16</v>
      </c>
      <c r="H2802" s="5">
        <v>1</v>
      </c>
      <c r="I2802" s="6" t="s">
        <v>7460</v>
      </c>
      <c r="J2802" s="5">
        <v>270</v>
      </c>
    </row>
    <row r="2803" s="2" customFormat="1" spans="1:10">
      <c r="A2803" s="6">
        <f>2801</f>
        <v>2801</v>
      </c>
      <c r="B2803" s="6" t="s">
        <v>7461</v>
      </c>
      <c r="C2803" s="6" t="s">
        <v>12</v>
      </c>
      <c r="D2803" s="6" t="s">
        <v>6677</v>
      </c>
      <c r="E2803" s="6" t="s">
        <v>7235</v>
      </c>
      <c r="F2803" s="6" t="s">
        <v>7462</v>
      </c>
      <c r="G2803" s="6" t="s">
        <v>16</v>
      </c>
      <c r="H2803" s="5">
        <v>2</v>
      </c>
      <c r="I2803" s="6" t="s">
        <v>7463</v>
      </c>
      <c r="J2803" s="5">
        <v>540</v>
      </c>
    </row>
    <row r="2804" s="2" customFormat="1" spans="1:10">
      <c r="A2804" s="6">
        <f>2802</f>
        <v>2802</v>
      </c>
      <c r="B2804" s="6" t="s">
        <v>7464</v>
      </c>
      <c r="C2804" s="6" t="s">
        <v>12</v>
      </c>
      <c r="D2804" s="6" t="s">
        <v>6677</v>
      </c>
      <c r="E2804" s="6" t="s">
        <v>7235</v>
      </c>
      <c r="F2804" s="6" t="s">
        <v>7465</v>
      </c>
      <c r="G2804" s="6" t="s">
        <v>16</v>
      </c>
      <c r="H2804" s="5">
        <v>1</v>
      </c>
      <c r="I2804" s="6" t="s">
        <v>7465</v>
      </c>
      <c r="J2804" s="5">
        <v>280</v>
      </c>
    </row>
    <row r="2805" s="2" customFormat="1" spans="1:10">
      <c r="A2805" s="6">
        <f>2803</f>
        <v>2803</v>
      </c>
      <c r="B2805" s="6" t="s">
        <v>7466</v>
      </c>
      <c r="C2805" s="6" t="s">
        <v>12</v>
      </c>
      <c r="D2805" s="6" t="s">
        <v>6677</v>
      </c>
      <c r="E2805" s="6" t="s">
        <v>7235</v>
      </c>
      <c r="F2805" s="6" t="s">
        <v>7467</v>
      </c>
      <c r="G2805" s="6" t="s">
        <v>16</v>
      </c>
      <c r="H2805" s="5">
        <v>1</v>
      </c>
      <c r="I2805" s="6" t="s">
        <v>7467</v>
      </c>
      <c r="J2805" s="5">
        <v>250</v>
      </c>
    </row>
    <row r="2806" s="2" customFormat="1" spans="1:10">
      <c r="A2806" s="6">
        <f>2804</f>
        <v>2804</v>
      </c>
      <c r="B2806" s="6" t="s">
        <v>7468</v>
      </c>
      <c r="C2806" s="6" t="s">
        <v>12</v>
      </c>
      <c r="D2806" s="6" t="s">
        <v>6677</v>
      </c>
      <c r="E2806" s="6" t="s">
        <v>7235</v>
      </c>
      <c r="F2806" s="6" t="s">
        <v>7469</v>
      </c>
      <c r="G2806" s="6" t="s">
        <v>16</v>
      </c>
      <c r="H2806" s="5">
        <v>1</v>
      </c>
      <c r="I2806" s="6" t="s">
        <v>7469</v>
      </c>
      <c r="J2806" s="5">
        <v>340</v>
      </c>
    </row>
    <row r="2807" s="2" customFormat="1" spans="1:10">
      <c r="A2807" s="6">
        <f>2805</f>
        <v>2805</v>
      </c>
      <c r="B2807" s="6" t="s">
        <v>7470</v>
      </c>
      <c r="C2807" s="6" t="s">
        <v>12</v>
      </c>
      <c r="D2807" s="6" t="s">
        <v>6677</v>
      </c>
      <c r="E2807" s="6" t="s">
        <v>7235</v>
      </c>
      <c r="F2807" s="6" t="s">
        <v>5727</v>
      </c>
      <c r="G2807" s="6" t="s">
        <v>16</v>
      </c>
      <c r="H2807" s="5">
        <v>1</v>
      </c>
      <c r="I2807" s="6" t="s">
        <v>5727</v>
      </c>
      <c r="J2807" s="5">
        <v>340</v>
      </c>
    </row>
    <row r="2808" s="2" customFormat="1" spans="1:10">
      <c r="A2808" s="6">
        <f>2806</f>
        <v>2806</v>
      </c>
      <c r="B2808" s="6" t="s">
        <v>7471</v>
      </c>
      <c r="C2808" s="6" t="s">
        <v>12</v>
      </c>
      <c r="D2808" s="6" t="s">
        <v>6677</v>
      </c>
      <c r="E2808" s="6" t="s">
        <v>7235</v>
      </c>
      <c r="F2808" s="6" t="s">
        <v>7472</v>
      </c>
      <c r="G2808" s="6" t="s">
        <v>16</v>
      </c>
      <c r="H2808" s="5">
        <v>1</v>
      </c>
      <c r="I2808" s="6" t="s">
        <v>7472</v>
      </c>
      <c r="J2808" s="5">
        <v>340</v>
      </c>
    </row>
    <row r="2809" s="2" customFormat="1" spans="1:10">
      <c r="A2809" s="6">
        <f>2807</f>
        <v>2807</v>
      </c>
      <c r="B2809" s="6" t="s">
        <v>7473</v>
      </c>
      <c r="C2809" s="6" t="s">
        <v>12</v>
      </c>
      <c r="D2809" s="6" t="s">
        <v>6677</v>
      </c>
      <c r="E2809" s="6" t="s">
        <v>7235</v>
      </c>
      <c r="F2809" s="6" t="s">
        <v>7474</v>
      </c>
      <c r="G2809" s="6" t="s">
        <v>16</v>
      </c>
      <c r="H2809" s="5">
        <v>3</v>
      </c>
      <c r="I2809" s="6" t="s">
        <v>7475</v>
      </c>
      <c r="J2809" s="5">
        <v>730</v>
      </c>
    </row>
    <row r="2810" s="2" customFormat="1" ht="27" spans="1:10">
      <c r="A2810" s="6">
        <f>2808</f>
        <v>2808</v>
      </c>
      <c r="B2810" s="6" t="s">
        <v>7476</v>
      </c>
      <c r="C2810" s="6" t="s">
        <v>12</v>
      </c>
      <c r="D2810" s="6" t="s">
        <v>6677</v>
      </c>
      <c r="E2810" s="6" t="s">
        <v>7235</v>
      </c>
      <c r="F2810" s="6" t="s">
        <v>7477</v>
      </c>
      <c r="G2810" s="6" t="s">
        <v>16</v>
      </c>
      <c r="H2810" s="5">
        <v>4</v>
      </c>
      <c r="I2810" s="6" t="s">
        <v>7478</v>
      </c>
      <c r="J2810" s="5">
        <v>760</v>
      </c>
    </row>
    <row r="2811" s="2" customFormat="1" ht="27" spans="1:10">
      <c r="A2811" s="6">
        <f>2809</f>
        <v>2809</v>
      </c>
      <c r="B2811" s="6" t="s">
        <v>7479</v>
      </c>
      <c r="C2811" s="6" t="s">
        <v>12</v>
      </c>
      <c r="D2811" s="6" t="s">
        <v>6677</v>
      </c>
      <c r="E2811" s="6" t="s">
        <v>7235</v>
      </c>
      <c r="F2811" s="6" t="s">
        <v>7480</v>
      </c>
      <c r="G2811" s="6" t="s">
        <v>16</v>
      </c>
      <c r="H2811" s="5">
        <v>5</v>
      </c>
      <c r="I2811" s="6" t="s">
        <v>7481</v>
      </c>
      <c r="J2811" s="5">
        <v>800</v>
      </c>
    </row>
    <row r="2812" s="2" customFormat="1" spans="1:10">
      <c r="A2812" s="6">
        <f>2810</f>
        <v>2810</v>
      </c>
      <c r="B2812" s="6" t="s">
        <v>7482</v>
      </c>
      <c r="C2812" s="6" t="s">
        <v>12</v>
      </c>
      <c r="D2812" s="6" t="s">
        <v>6677</v>
      </c>
      <c r="E2812" s="6" t="s">
        <v>7235</v>
      </c>
      <c r="F2812" s="6" t="s">
        <v>7483</v>
      </c>
      <c r="G2812" s="6" t="s">
        <v>16</v>
      </c>
      <c r="H2812" s="5">
        <v>1</v>
      </c>
      <c r="I2812" s="6" t="s">
        <v>7483</v>
      </c>
      <c r="J2812" s="5">
        <v>330</v>
      </c>
    </row>
    <row r="2813" s="2" customFormat="1" ht="27" spans="1:10">
      <c r="A2813" s="6">
        <f>2811</f>
        <v>2811</v>
      </c>
      <c r="B2813" s="6" t="s">
        <v>7484</v>
      </c>
      <c r="C2813" s="6" t="s">
        <v>12</v>
      </c>
      <c r="D2813" s="6" t="s">
        <v>6677</v>
      </c>
      <c r="E2813" s="6" t="s">
        <v>7235</v>
      </c>
      <c r="F2813" s="6" t="s">
        <v>7485</v>
      </c>
      <c r="G2813" s="6" t="s">
        <v>16</v>
      </c>
      <c r="H2813" s="5">
        <v>5</v>
      </c>
      <c r="I2813" s="6" t="s">
        <v>7486</v>
      </c>
      <c r="J2813" s="5">
        <v>2700</v>
      </c>
    </row>
    <row r="2814" s="2" customFormat="1" spans="1:10">
      <c r="A2814" s="6">
        <f>2812</f>
        <v>2812</v>
      </c>
      <c r="B2814" s="6" t="s">
        <v>7487</v>
      </c>
      <c r="C2814" s="6" t="s">
        <v>12</v>
      </c>
      <c r="D2814" s="6" t="s">
        <v>6677</v>
      </c>
      <c r="E2814" s="6" t="s">
        <v>7235</v>
      </c>
      <c r="F2814" s="6" t="s">
        <v>7488</v>
      </c>
      <c r="G2814" s="6" t="s">
        <v>16</v>
      </c>
      <c r="H2814" s="5">
        <v>2</v>
      </c>
      <c r="I2814" s="6" t="s">
        <v>7489</v>
      </c>
      <c r="J2814" s="5">
        <v>930</v>
      </c>
    </row>
    <row r="2815" s="2" customFormat="1" spans="1:10">
      <c r="A2815" s="6">
        <f>2813</f>
        <v>2813</v>
      </c>
      <c r="B2815" s="6" t="s">
        <v>7490</v>
      </c>
      <c r="C2815" s="6" t="s">
        <v>12</v>
      </c>
      <c r="D2815" s="6" t="s">
        <v>6677</v>
      </c>
      <c r="E2815" s="6" t="s">
        <v>7235</v>
      </c>
      <c r="F2815" s="6" t="s">
        <v>7491</v>
      </c>
      <c r="G2815" s="6" t="s">
        <v>16</v>
      </c>
      <c r="H2815" s="5">
        <v>1</v>
      </c>
      <c r="I2815" s="6" t="s">
        <v>7491</v>
      </c>
      <c r="J2815" s="5">
        <v>390</v>
      </c>
    </row>
    <row r="2816" s="2" customFormat="1" spans="1:10">
      <c r="A2816" s="6">
        <f>2814</f>
        <v>2814</v>
      </c>
      <c r="B2816" s="6" t="s">
        <v>7492</v>
      </c>
      <c r="C2816" s="6" t="s">
        <v>12</v>
      </c>
      <c r="D2816" s="6" t="s">
        <v>6677</v>
      </c>
      <c r="E2816" s="6" t="s">
        <v>7235</v>
      </c>
      <c r="F2816" s="6" t="s">
        <v>7493</v>
      </c>
      <c r="G2816" s="6" t="s">
        <v>16</v>
      </c>
      <c r="H2816" s="5">
        <v>1</v>
      </c>
      <c r="I2816" s="6" t="s">
        <v>7493</v>
      </c>
      <c r="J2816" s="5">
        <v>300</v>
      </c>
    </row>
    <row r="2817" s="2" customFormat="1" spans="1:10">
      <c r="A2817" s="6">
        <f>2815</f>
        <v>2815</v>
      </c>
      <c r="B2817" s="6" t="s">
        <v>7494</v>
      </c>
      <c r="C2817" s="6" t="s">
        <v>12</v>
      </c>
      <c r="D2817" s="6" t="s">
        <v>6677</v>
      </c>
      <c r="E2817" s="6" t="s">
        <v>7235</v>
      </c>
      <c r="F2817" s="6" t="s">
        <v>7495</v>
      </c>
      <c r="G2817" s="6" t="s">
        <v>16</v>
      </c>
      <c r="H2817" s="5">
        <v>1</v>
      </c>
      <c r="I2817" s="6" t="s">
        <v>7495</v>
      </c>
      <c r="J2817" s="5">
        <v>440</v>
      </c>
    </row>
    <row r="2818" s="2" customFormat="1" spans="1:10">
      <c r="A2818" s="6">
        <f>2816</f>
        <v>2816</v>
      </c>
      <c r="B2818" s="6" t="s">
        <v>7496</v>
      </c>
      <c r="C2818" s="6" t="s">
        <v>12</v>
      </c>
      <c r="D2818" s="6" t="s">
        <v>6677</v>
      </c>
      <c r="E2818" s="6" t="s">
        <v>7235</v>
      </c>
      <c r="F2818" s="6" t="s">
        <v>7497</v>
      </c>
      <c r="G2818" s="6" t="s">
        <v>16</v>
      </c>
      <c r="H2818" s="5">
        <v>1</v>
      </c>
      <c r="I2818" s="6" t="s">
        <v>7497</v>
      </c>
      <c r="J2818" s="5">
        <v>360</v>
      </c>
    </row>
    <row r="2819" s="2" customFormat="1" ht="27" spans="1:10">
      <c r="A2819" s="6">
        <f>2817</f>
        <v>2817</v>
      </c>
      <c r="B2819" s="6" t="s">
        <v>7498</v>
      </c>
      <c r="C2819" s="6" t="s">
        <v>12</v>
      </c>
      <c r="D2819" s="6" t="s">
        <v>6677</v>
      </c>
      <c r="E2819" s="6" t="s">
        <v>7235</v>
      </c>
      <c r="F2819" s="6" t="s">
        <v>7499</v>
      </c>
      <c r="G2819" s="6" t="s">
        <v>16</v>
      </c>
      <c r="H2819" s="5">
        <v>5</v>
      </c>
      <c r="I2819" s="6" t="s">
        <v>7500</v>
      </c>
      <c r="J2819" s="5">
        <v>1000</v>
      </c>
    </row>
    <row r="2820" s="2" customFormat="1" spans="1:10">
      <c r="A2820" s="6">
        <f>2818</f>
        <v>2818</v>
      </c>
      <c r="B2820" s="6" t="s">
        <v>7501</v>
      </c>
      <c r="C2820" s="6" t="s">
        <v>12</v>
      </c>
      <c r="D2820" s="6" t="s">
        <v>6677</v>
      </c>
      <c r="E2820" s="6" t="s">
        <v>7235</v>
      </c>
      <c r="F2820" s="6" t="s">
        <v>7502</v>
      </c>
      <c r="G2820" s="6" t="s">
        <v>16</v>
      </c>
      <c r="H2820" s="5">
        <v>3</v>
      </c>
      <c r="I2820" s="6" t="s">
        <v>7503</v>
      </c>
      <c r="J2820" s="5">
        <v>1180</v>
      </c>
    </row>
    <row r="2821" s="2" customFormat="1" spans="1:10">
      <c r="A2821" s="6">
        <f>2819</f>
        <v>2819</v>
      </c>
      <c r="B2821" s="6" t="s">
        <v>7504</v>
      </c>
      <c r="C2821" s="6" t="s">
        <v>12</v>
      </c>
      <c r="D2821" s="6" t="s">
        <v>6677</v>
      </c>
      <c r="E2821" s="6" t="s">
        <v>7235</v>
      </c>
      <c r="F2821" s="6" t="s">
        <v>7505</v>
      </c>
      <c r="G2821" s="6" t="s">
        <v>16</v>
      </c>
      <c r="H2821" s="5">
        <v>1</v>
      </c>
      <c r="I2821" s="6" t="s">
        <v>7505</v>
      </c>
      <c r="J2821" s="5">
        <v>290</v>
      </c>
    </row>
    <row r="2822" s="2" customFormat="1" spans="1:10">
      <c r="A2822" s="6">
        <f>2820</f>
        <v>2820</v>
      </c>
      <c r="B2822" s="6" t="s">
        <v>7506</v>
      </c>
      <c r="C2822" s="6" t="s">
        <v>12</v>
      </c>
      <c r="D2822" s="6" t="s">
        <v>6677</v>
      </c>
      <c r="E2822" s="6" t="s">
        <v>7235</v>
      </c>
      <c r="F2822" s="6" t="s">
        <v>7507</v>
      </c>
      <c r="G2822" s="6" t="s">
        <v>16</v>
      </c>
      <c r="H2822" s="5">
        <v>1</v>
      </c>
      <c r="I2822" s="6" t="s">
        <v>7507</v>
      </c>
      <c r="J2822" s="5">
        <v>510</v>
      </c>
    </row>
    <row r="2823" s="2" customFormat="1" spans="1:10">
      <c r="A2823" s="6">
        <f>2821</f>
        <v>2821</v>
      </c>
      <c r="B2823" s="6" t="s">
        <v>7508</v>
      </c>
      <c r="C2823" s="6" t="s">
        <v>12</v>
      </c>
      <c r="D2823" s="6" t="s">
        <v>6677</v>
      </c>
      <c r="E2823" s="6" t="s">
        <v>7235</v>
      </c>
      <c r="F2823" s="6" t="s">
        <v>7509</v>
      </c>
      <c r="G2823" s="6" t="s">
        <v>16</v>
      </c>
      <c r="H2823" s="5">
        <v>1</v>
      </c>
      <c r="I2823" s="6" t="s">
        <v>7509</v>
      </c>
      <c r="J2823" s="5">
        <v>290</v>
      </c>
    </row>
    <row r="2824" s="2" customFormat="1" ht="27" spans="1:10">
      <c r="A2824" s="6">
        <f>2822</f>
        <v>2822</v>
      </c>
      <c r="B2824" s="6" t="s">
        <v>7510</v>
      </c>
      <c r="C2824" s="6" t="s">
        <v>12</v>
      </c>
      <c r="D2824" s="6" t="s">
        <v>6677</v>
      </c>
      <c r="E2824" s="6" t="s">
        <v>7235</v>
      </c>
      <c r="F2824" s="6" t="s">
        <v>7511</v>
      </c>
      <c r="G2824" s="6" t="s">
        <v>16</v>
      </c>
      <c r="H2824" s="5">
        <v>4</v>
      </c>
      <c r="I2824" s="6" t="s">
        <v>7512</v>
      </c>
      <c r="J2824" s="5">
        <v>1360</v>
      </c>
    </row>
    <row r="2825" s="2" customFormat="1" spans="1:10">
      <c r="A2825" s="6">
        <f>2823</f>
        <v>2823</v>
      </c>
      <c r="B2825" s="6" t="s">
        <v>7513</v>
      </c>
      <c r="C2825" s="6" t="s">
        <v>12</v>
      </c>
      <c r="D2825" s="6" t="s">
        <v>6677</v>
      </c>
      <c r="E2825" s="6" t="s">
        <v>7235</v>
      </c>
      <c r="F2825" s="6" t="s">
        <v>7514</v>
      </c>
      <c r="G2825" s="6" t="s">
        <v>16</v>
      </c>
      <c r="H2825" s="5">
        <v>1</v>
      </c>
      <c r="I2825" s="6" t="s">
        <v>7514</v>
      </c>
      <c r="J2825" s="5">
        <v>240</v>
      </c>
    </row>
    <row r="2826" s="2" customFormat="1" spans="1:10">
      <c r="A2826" s="6">
        <f>2824</f>
        <v>2824</v>
      </c>
      <c r="B2826" s="6" t="s">
        <v>7515</v>
      </c>
      <c r="C2826" s="6" t="s">
        <v>12</v>
      </c>
      <c r="D2826" s="6" t="s">
        <v>6677</v>
      </c>
      <c r="E2826" s="6" t="s">
        <v>7235</v>
      </c>
      <c r="F2826" s="6" t="s">
        <v>7516</v>
      </c>
      <c r="G2826" s="6" t="s">
        <v>16</v>
      </c>
      <c r="H2826" s="5">
        <v>1</v>
      </c>
      <c r="I2826" s="6" t="s">
        <v>7516</v>
      </c>
      <c r="J2826" s="5">
        <v>340</v>
      </c>
    </row>
    <row r="2827" s="2" customFormat="1" spans="1:10">
      <c r="A2827" s="6">
        <f>2825</f>
        <v>2825</v>
      </c>
      <c r="B2827" s="6" t="s">
        <v>7517</v>
      </c>
      <c r="C2827" s="6" t="s">
        <v>12</v>
      </c>
      <c r="D2827" s="6" t="s">
        <v>6677</v>
      </c>
      <c r="E2827" s="6" t="s">
        <v>7235</v>
      </c>
      <c r="F2827" s="6" t="s">
        <v>7518</v>
      </c>
      <c r="G2827" s="6" t="s">
        <v>16</v>
      </c>
      <c r="H2827" s="5">
        <v>1</v>
      </c>
      <c r="I2827" s="6" t="s">
        <v>7518</v>
      </c>
      <c r="J2827" s="5">
        <v>241</v>
      </c>
    </row>
    <row r="2828" s="2" customFormat="1" spans="1:10">
      <c r="A2828" s="6">
        <f>2826</f>
        <v>2826</v>
      </c>
      <c r="B2828" s="6" t="s">
        <v>7519</v>
      </c>
      <c r="C2828" s="6" t="s">
        <v>12</v>
      </c>
      <c r="D2828" s="6" t="s">
        <v>6677</v>
      </c>
      <c r="E2828" s="6" t="s">
        <v>7235</v>
      </c>
      <c r="F2828" s="6" t="s">
        <v>7520</v>
      </c>
      <c r="G2828" s="6" t="s">
        <v>16</v>
      </c>
      <c r="H2828" s="5">
        <v>1</v>
      </c>
      <c r="I2828" s="6" t="s">
        <v>7520</v>
      </c>
      <c r="J2828" s="5">
        <v>280</v>
      </c>
    </row>
    <row r="2829" s="2" customFormat="1" ht="27" spans="1:10">
      <c r="A2829" s="6">
        <f>2827</f>
        <v>2827</v>
      </c>
      <c r="B2829" s="6" t="s">
        <v>7521</v>
      </c>
      <c r="C2829" s="6" t="s">
        <v>12</v>
      </c>
      <c r="D2829" s="6" t="s">
        <v>6677</v>
      </c>
      <c r="E2829" s="6" t="s">
        <v>7235</v>
      </c>
      <c r="F2829" s="6" t="s">
        <v>2137</v>
      </c>
      <c r="G2829" s="6" t="s">
        <v>16</v>
      </c>
      <c r="H2829" s="5">
        <v>5</v>
      </c>
      <c r="I2829" s="6" t="s">
        <v>7522</v>
      </c>
      <c r="J2829" s="5">
        <v>1300</v>
      </c>
    </row>
    <row r="2830" s="2" customFormat="1" spans="1:10">
      <c r="A2830" s="6">
        <f>2828</f>
        <v>2828</v>
      </c>
      <c r="B2830" s="6" t="s">
        <v>7523</v>
      </c>
      <c r="C2830" s="6" t="s">
        <v>12</v>
      </c>
      <c r="D2830" s="6" t="s">
        <v>6677</v>
      </c>
      <c r="E2830" s="6" t="s">
        <v>7235</v>
      </c>
      <c r="F2830" s="6" t="s">
        <v>7524</v>
      </c>
      <c r="G2830" s="6" t="s">
        <v>16</v>
      </c>
      <c r="H2830" s="5">
        <v>2</v>
      </c>
      <c r="I2830" s="6" t="s">
        <v>7525</v>
      </c>
      <c r="J2830" s="5">
        <v>420</v>
      </c>
    </row>
    <row r="2831" s="2" customFormat="1" spans="1:10">
      <c r="A2831" s="6">
        <f>2829</f>
        <v>2829</v>
      </c>
      <c r="B2831" s="6" t="s">
        <v>7526</v>
      </c>
      <c r="C2831" s="6" t="s">
        <v>12</v>
      </c>
      <c r="D2831" s="6" t="s">
        <v>6677</v>
      </c>
      <c r="E2831" s="6" t="s">
        <v>7527</v>
      </c>
      <c r="F2831" s="6" t="s">
        <v>7528</v>
      </c>
      <c r="G2831" s="6" t="s">
        <v>16</v>
      </c>
      <c r="H2831" s="5">
        <v>1</v>
      </c>
      <c r="I2831" s="6" t="s">
        <v>7528</v>
      </c>
      <c r="J2831" s="5">
        <v>200</v>
      </c>
    </row>
    <row r="2832" s="2" customFormat="1" spans="1:10">
      <c r="A2832" s="6">
        <f>2830</f>
        <v>2830</v>
      </c>
      <c r="B2832" s="6" t="s">
        <v>7529</v>
      </c>
      <c r="C2832" s="6" t="s">
        <v>12</v>
      </c>
      <c r="D2832" s="6" t="s">
        <v>6677</v>
      </c>
      <c r="E2832" s="6" t="s">
        <v>7527</v>
      </c>
      <c r="F2832" s="6" t="s">
        <v>7530</v>
      </c>
      <c r="G2832" s="6" t="s">
        <v>16</v>
      </c>
      <c r="H2832" s="5">
        <v>3</v>
      </c>
      <c r="I2832" s="6" t="s">
        <v>7531</v>
      </c>
      <c r="J2832" s="5">
        <v>1620</v>
      </c>
    </row>
    <row r="2833" s="2" customFormat="1" spans="1:10">
      <c r="A2833" s="6">
        <f>2831</f>
        <v>2831</v>
      </c>
      <c r="B2833" s="6" t="s">
        <v>7532</v>
      </c>
      <c r="C2833" s="6" t="s">
        <v>12</v>
      </c>
      <c r="D2833" s="6" t="s">
        <v>6677</v>
      </c>
      <c r="E2833" s="6" t="s">
        <v>7527</v>
      </c>
      <c r="F2833" s="6" t="s">
        <v>7533</v>
      </c>
      <c r="G2833" s="6" t="s">
        <v>16</v>
      </c>
      <c r="H2833" s="5">
        <v>2</v>
      </c>
      <c r="I2833" s="6" t="s">
        <v>7534</v>
      </c>
      <c r="J2833" s="5">
        <v>420</v>
      </c>
    </row>
    <row r="2834" s="2" customFormat="1" spans="1:10">
      <c r="A2834" s="6">
        <f>2832</f>
        <v>2832</v>
      </c>
      <c r="B2834" s="6" t="s">
        <v>7535</v>
      </c>
      <c r="C2834" s="6" t="s">
        <v>12</v>
      </c>
      <c r="D2834" s="6" t="s">
        <v>6677</v>
      </c>
      <c r="E2834" s="6" t="s">
        <v>7527</v>
      </c>
      <c r="F2834" s="6" t="s">
        <v>7536</v>
      </c>
      <c r="G2834" s="6" t="s">
        <v>16</v>
      </c>
      <c r="H2834" s="5">
        <v>3</v>
      </c>
      <c r="I2834" s="6" t="s">
        <v>7537</v>
      </c>
      <c r="J2834" s="5">
        <v>1180</v>
      </c>
    </row>
    <row r="2835" s="2" customFormat="1" spans="1:10">
      <c r="A2835" s="6">
        <f>2833</f>
        <v>2833</v>
      </c>
      <c r="B2835" s="6" t="s">
        <v>7538</v>
      </c>
      <c r="C2835" s="6" t="s">
        <v>12</v>
      </c>
      <c r="D2835" s="6" t="s">
        <v>6677</v>
      </c>
      <c r="E2835" s="6" t="s">
        <v>7527</v>
      </c>
      <c r="F2835" s="6" t="s">
        <v>7539</v>
      </c>
      <c r="G2835" s="6" t="s">
        <v>16</v>
      </c>
      <c r="H2835" s="5">
        <v>2</v>
      </c>
      <c r="I2835" s="6" t="s">
        <v>7540</v>
      </c>
      <c r="J2835" s="5">
        <v>1080</v>
      </c>
    </row>
    <row r="2836" s="2" customFormat="1" spans="1:10">
      <c r="A2836" s="6">
        <f>2834</f>
        <v>2834</v>
      </c>
      <c r="B2836" s="6" t="s">
        <v>7541</v>
      </c>
      <c r="C2836" s="6" t="s">
        <v>12</v>
      </c>
      <c r="D2836" s="6" t="s">
        <v>6677</v>
      </c>
      <c r="E2836" s="6" t="s">
        <v>7527</v>
      </c>
      <c r="F2836" s="6" t="s">
        <v>7542</v>
      </c>
      <c r="G2836" s="6" t="s">
        <v>16</v>
      </c>
      <c r="H2836" s="5">
        <v>1</v>
      </c>
      <c r="I2836" s="6" t="s">
        <v>7542</v>
      </c>
      <c r="J2836" s="5">
        <v>460</v>
      </c>
    </row>
    <row r="2837" s="2" customFormat="1" spans="1:10">
      <c r="A2837" s="6">
        <f>2835</f>
        <v>2835</v>
      </c>
      <c r="B2837" s="6" t="s">
        <v>7543</v>
      </c>
      <c r="C2837" s="6" t="s">
        <v>12</v>
      </c>
      <c r="D2837" s="6" t="s">
        <v>6677</v>
      </c>
      <c r="E2837" s="6" t="s">
        <v>7527</v>
      </c>
      <c r="F2837" s="6" t="s">
        <v>7544</v>
      </c>
      <c r="G2837" s="6" t="s">
        <v>16</v>
      </c>
      <c r="H2837" s="5">
        <v>2</v>
      </c>
      <c r="I2837" s="6" t="s">
        <v>7545</v>
      </c>
      <c r="J2837" s="5">
        <v>840</v>
      </c>
    </row>
    <row r="2838" s="2" customFormat="1" ht="27" spans="1:10">
      <c r="A2838" s="6">
        <f>2836</f>
        <v>2836</v>
      </c>
      <c r="B2838" s="6" t="s">
        <v>7546</v>
      </c>
      <c r="C2838" s="6" t="s">
        <v>12</v>
      </c>
      <c r="D2838" s="6" t="s">
        <v>6677</v>
      </c>
      <c r="E2838" s="6" t="s">
        <v>7527</v>
      </c>
      <c r="F2838" s="6" t="s">
        <v>7547</v>
      </c>
      <c r="G2838" s="6" t="s">
        <v>16</v>
      </c>
      <c r="H2838" s="5">
        <v>4</v>
      </c>
      <c r="I2838" s="6" t="s">
        <v>7548</v>
      </c>
      <c r="J2838" s="5">
        <v>1060</v>
      </c>
    </row>
    <row r="2839" s="2" customFormat="1" ht="27" spans="1:10">
      <c r="A2839" s="6">
        <f>2837</f>
        <v>2837</v>
      </c>
      <c r="B2839" s="6" t="s">
        <v>7549</v>
      </c>
      <c r="C2839" s="6" t="s">
        <v>12</v>
      </c>
      <c r="D2839" s="6" t="s">
        <v>6677</v>
      </c>
      <c r="E2839" s="6" t="s">
        <v>7527</v>
      </c>
      <c r="F2839" s="6" t="s">
        <v>7550</v>
      </c>
      <c r="G2839" s="6" t="s">
        <v>16</v>
      </c>
      <c r="H2839" s="5">
        <v>4</v>
      </c>
      <c r="I2839" s="6" t="s">
        <v>7551</v>
      </c>
      <c r="J2839" s="5">
        <v>1660</v>
      </c>
    </row>
    <row r="2840" s="2" customFormat="1" spans="1:10">
      <c r="A2840" s="6">
        <f>2838</f>
        <v>2838</v>
      </c>
      <c r="B2840" s="6" t="s">
        <v>7552</v>
      </c>
      <c r="C2840" s="6" t="s">
        <v>12</v>
      </c>
      <c r="D2840" s="6" t="s">
        <v>6677</v>
      </c>
      <c r="E2840" s="6" t="s">
        <v>7527</v>
      </c>
      <c r="F2840" s="6" t="s">
        <v>7553</v>
      </c>
      <c r="G2840" s="6" t="s">
        <v>16</v>
      </c>
      <c r="H2840" s="5">
        <v>1</v>
      </c>
      <c r="I2840" s="6" t="s">
        <v>7553</v>
      </c>
      <c r="J2840" s="5">
        <v>460</v>
      </c>
    </row>
    <row r="2841" s="2" customFormat="1" spans="1:10">
      <c r="A2841" s="6">
        <f>2839</f>
        <v>2839</v>
      </c>
      <c r="B2841" s="6" t="s">
        <v>7554</v>
      </c>
      <c r="C2841" s="6" t="s">
        <v>12</v>
      </c>
      <c r="D2841" s="6" t="s">
        <v>6677</v>
      </c>
      <c r="E2841" s="6" t="s">
        <v>7527</v>
      </c>
      <c r="F2841" s="6" t="s">
        <v>7555</v>
      </c>
      <c r="G2841" s="6" t="s">
        <v>16</v>
      </c>
      <c r="H2841" s="5">
        <v>1</v>
      </c>
      <c r="I2841" s="6" t="s">
        <v>7555</v>
      </c>
      <c r="J2841" s="5">
        <v>440</v>
      </c>
    </row>
    <row r="2842" s="2" customFormat="1" spans="1:10">
      <c r="A2842" s="6">
        <f>2840</f>
        <v>2840</v>
      </c>
      <c r="B2842" s="6" t="s">
        <v>7556</v>
      </c>
      <c r="C2842" s="6" t="s">
        <v>12</v>
      </c>
      <c r="D2842" s="6" t="s">
        <v>6677</v>
      </c>
      <c r="E2842" s="6" t="s">
        <v>7527</v>
      </c>
      <c r="F2842" s="6" t="s">
        <v>7557</v>
      </c>
      <c r="G2842" s="6" t="s">
        <v>16</v>
      </c>
      <c r="H2842" s="5">
        <v>1</v>
      </c>
      <c r="I2842" s="6" t="s">
        <v>7557</v>
      </c>
      <c r="J2842" s="5">
        <v>440</v>
      </c>
    </row>
    <row r="2843" s="2" customFormat="1" spans="1:10">
      <c r="A2843" s="6">
        <f>2841</f>
        <v>2841</v>
      </c>
      <c r="B2843" s="6" t="s">
        <v>7558</v>
      </c>
      <c r="C2843" s="6" t="s">
        <v>12</v>
      </c>
      <c r="D2843" s="6" t="s">
        <v>6677</v>
      </c>
      <c r="E2843" s="6" t="s">
        <v>7527</v>
      </c>
      <c r="F2843" s="6" t="s">
        <v>7559</v>
      </c>
      <c r="G2843" s="6" t="s">
        <v>16</v>
      </c>
      <c r="H2843" s="5">
        <v>1</v>
      </c>
      <c r="I2843" s="6" t="s">
        <v>7559</v>
      </c>
      <c r="J2843" s="5">
        <v>540</v>
      </c>
    </row>
    <row r="2844" s="2" customFormat="1" spans="1:10">
      <c r="A2844" s="6">
        <f>2842</f>
        <v>2842</v>
      </c>
      <c r="B2844" s="6" t="s">
        <v>7560</v>
      </c>
      <c r="C2844" s="6" t="s">
        <v>12</v>
      </c>
      <c r="D2844" s="6" t="s">
        <v>6677</v>
      </c>
      <c r="E2844" s="6" t="s">
        <v>7527</v>
      </c>
      <c r="F2844" s="6" t="s">
        <v>7561</v>
      </c>
      <c r="G2844" s="6" t="s">
        <v>16</v>
      </c>
      <c r="H2844" s="5">
        <v>2</v>
      </c>
      <c r="I2844" s="6" t="s">
        <v>7562</v>
      </c>
      <c r="J2844" s="5">
        <v>890</v>
      </c>
    </row>
    <row r="2845" s="2" customFormat="1" ht="40.5" spans="1:10">
      <c r="A2845" s="6">
        <f>2843</f>
        <v>2843</v>
      </c>
      <c r="B2845" s="6" t="s">
        <v>7563</v>
      </c>
      <c r="C2845" s="6" t="s">
        <v>12</v>
      </c>
      <c r="D2845" s="6" t="s">
        <v>6677</v>
      </c>
      <c r="E2845" s="6" t="s">
        <v>7527</v>
      </c>
      <c r="F2845" s="6" t="s">
        <v>7564</v>
      </c>
      <c r="G2845" s="6" t="s">
        <v>16</v>
      </c>
      <c r="H2845" s="5">
        <v>7</v>
      </c>
      <c r="I2845" s="6" t="s">
        <v>7565</v>
      </c>
      <c r="J2845" s="5">
        <v>1070</v>
      </c>
    </row>
    <row r="2846" s="2" customFormat="1" ht="27" spans="1:10">
      <c r="A2846" s="6">
        <f>2844</f>
        <v>2844</v>
      </c>
      <c r="B2846" s="6" t="s">
        <v>7566</v>
      </c>
      <c r="C2846" s="6" t="s">
        <v>12</v>
      </c>
      <c r="D2846" s="6" t="s">
        <v>6677</v>
      </c>
      <c r="E2846" s="6" t="s">
        <v>7527</v>
      </c>
      <c r="F2846" s="6" t="s">
        <v>7567</v>
      </c>
      <c r="G2846" s="6" t="s">
        <v>16</v>
      </c>
      <c r="H2846" s="5">
        <v>5</v>
      </c>
      <c r="I2846" s="6" t="s">
        <v>7568</v>
      </c>
      <c r="J2846" s="5">
        <v>800</v>
      </c>
    </row>
    <row r="2847" s="2" customFormat="1" spans="1:10">
      <c r="A2847" s="6">
        <f>2845</f>
        <v>2845</v>
      </c>
      <c r="B2847" s="6" t="s">
        <v>7569</v>
      </c>
      <c r="C2847" s="6" t="s">
        <v>12</v>
      </c>
      <c r="D2847" s="6" t="s">
        <v>6677</v>
      </c>
      <c r="E2847" s="6" t="s">
        <v>7527</v>
      </c>
      <c r="F2847" s="6" t="s">
        <v>7570</v>
      </c>
      <c r="G2847" s="6" t="s">
        <v>16</v>
      </c>
      <c r="H2847" s="5">
        <v>1</v>
      </c>
      <c r="I2847" s="6" t="s">
        <v>7570</v>
      </c>
      <c r="J2847" s="5">
        <v>320</v>
      </c>
    </row>
    <row r="2848" s="2" customFormat="1" spans="1:10">
      <c r="A2848" s="6">
        <f>2846</f>
        <v>2846</v>
      </c>
      <c r="B2848" s="6" t="s">
        <v>7571</v>
      </c>
      <c r="C2848" s="6" t="s">
        <v>12</v>
      </c>
      <c r="D2848" s="6" t="s">
        <v>6677</v>
      </c>
      <c r="E2848" s="6" t="s">
        <v>7527</v>
      </c>
      <c r="F2848" s="6" t="s">
        <v>7572</v>
      </c>
      <c r="G2848" s="6" t="s">
        <v>16</v>
      </c>
      <c r="H2848" s="5">
        <v>2</v>
      </c>
      <c r="I2848" s="6" t="s">
        <v>7573</v>
      </c>
      <c r="J2848" s="5">
        <v>790</v>
      </c>
    </row>
    <row r="2849" s="2" customFormat="1" ht="27" spans="1:10">
      <c r="A2849" s="6">
        <f>2847</f>
        <v>2847</v>
      </c>
      <c r="B2849" s="6" t="s">
        <v>7574</v>
      </c>
      <c r="C2849" s="6" t="s">
        <v>12</v>
      </c>
      <c r="D2849" s="6" t="s">
        <v>6677</v>
      </c>
      <c r="E2849" s="6" t="s">
        <v>7527</v>
      </c>
      <c r="F2849" s="6" t="s">
        <v>7575</v>
      </c>
      <c r="G2849" s="6" t="s">
        <v>16</v>
      </c>
      <c r="H2849" s="5">
        <v>4</v>
      </c>
      <c r="I2849" s="6" t="s">
        <v>7576</v>
      </c>
      <c r="J2849" s="5">
        <v>2160</v>
      </c>
    </row>
    <row r="2850" s="2" customFormat="1" spans="1:10">
      <c r="A2850" s="6">
        <f>2848</f>
        <v>2848</v>
      </c>
      <c r="B2850" s="6" t="s">
        <v>7577</v>
      </c>
      <c r="C2850" s="6" t="s">
        <v>12</v>
      </c>
      <c r="D2850" s="6" t="s">
        <v>6677</v>
      </c>
      <c r="E2850" s="6" t="s">
        <v>7527</v>
      </c>
      <c r="F2850" s="6" t="s">
        <v>7578</v>
      </c>
      <c r="G2850" s="6" t="s">
        <v>16</v>
      </c>
      <c r="H2850" s="5">
        <v>3</v>
      </c>
      <c r="I2850" s="6" t="s">
        <v>7579</v>
      </c>
      <c r="J2850" s="5">
        <v>780</v>
      </c>
    </row>
    <row r="2851" s="2" customFormat="1" spans="1:10">
      <c r="A2851" s="6">
        <f>2849</f>
        <v>2849</v>
      </c>
      <c r="B2851" s="6" t="s">
        <v>7580</v>
      </c>
      <c r="C2851" s="6" t="s">
        <v>12</v>
      </c>
      <c r="D2851" s="6" t="s">
        <v>6677</v>
      </c>
      <c r="E2851" s="6" t="s">
        <v>7527</v>
      </c>
      <c r="F2851" s="6" t="s">
        <v>7581</v>
      </c>
      <c r="G2851" s="6" t="s">
        <v>16</v>
      </c>
      <c r="H2851" s="5">
        <v>1</v>
      </c>
      <c r="I2851" s="6" t="s">
        <v>7581</v>
      </c>
      <c r="J2851" s="5">
        <v>280</v>
      </c>
    </row>
    <row r="2852" s="2" customFormat="1" spans="1:10">
      <c r="A2852" s="6">
        <f>2850</f>
        <v>2850</v>
      </c>
      <c r="B2852" s="6" t="s">
        <v>7582</v>
      </c>
      <c r="C2852" s="6" t="s">
        <v>12</v>
      </c>
      <c r="D2852" s="6" t="s">
        <v>6677</v>
      </c>
      <c r="E2852" s="6" t="s">
        <v>7527</v>
      </c>
      <c r="F2852" s="6" t="s">
        <v>7583</v>
      </c>
      <c r="G2852" s="6" t="s">
        <v>16</v>
      </c>
      <c r="H2852" s="5">
        <v>2</v>
      </c>
      <c r="I2852" s="6" t="s">
        <v>7584</v>
      </c>
      <c r="J2852" s="5">
        <v>520</v>
      </c>
    </row>
    <row r="2853" s="2" customFormat="1" spans="1:10">
      <c r="A2853" s="6">
        <f>2851</f>
        <v>2851</v>
      </c>
      <c r="B2853" s="6" t="s">
        <v>7585</v>
      </c>
      <c r="C2853" s="6" t="s">
        <v>12</v>
      </c>
      <c r="D2853" s="6" t="s">
        <v>6677</v>
      </c>
      <c r="E2853" s="6" t="s">
        <v>7527</v>
      </c>
      <c r="F2853" s="6" t="s">
        <v>7586</v>
      </c>
      <c r="G2853" s="6" t="s">
        <v>16</v>
      </c>
      <c r="H2853" s="5">
        <v>3</v>
      </c>
      <c r="I2853" s="6" t="s">
        <v>7587</v>
      </c>
      <c r="J2853" s="5">
        <v>720</v>
      </c>
    </row>
    <row r="2854" s="2" customFormat="1" spans="1:10">
      <c r="A2854" s="6">
        <f>2852</f>
        <v>2852</v>
      </c>
      <c r="B2854" s="6" t="s">
        <v>7588</v>
      </c>
      <c r="C2854" s="6" t="s">
        <v>12</v>
      </c>
      <c r="D2854" s="6" t="s">
        <v>6677</v>
      </c>
      <c r="E2854" s="6" t="s">
        <v>7527</v>
      </c>
      <c r="F2854" s="6" t="s">
        <v>7589</v>
      </c>
      <c r="G2854" s="6" t="s">
        <v>16</v>
      </c>
      <c r="H2854" s="5">
        <v>3</v>
      </c>
      <c r="I2854" s="6" t="s">
        <v>7590</v>
      </c>
      <c r="J2854" s="5">
        <v>920</v>
      </c>
    </row>
    <row r="2855" s="2" customFormat="1" spans="1:10">
      <c r="A2855" s="6">
        <f>2853</f>
        <v>2853</v>
      </c>
      <c r="B2855" s="6" t="s">
        <v>7591</v>
      </c>
      <c r="C2855" s="6" t="s">
        <v>12</v>
      </c>
      <c r="D2855" s="6" t="s">
        <v>6677</v>
      </c>
      <c r="E2855" s="6" t="s">
        <v>7527</v>
      </c>
      <c r="F2855" s="6" t="s">
        <v>7592</v>
      </c>
      <c r="G2855" s="6" t="s">
        <v>16</v>
      </c>
      <c r="H2855" s="5">
        <v>1</v>
      </c>
      <c r="I2855" s="6" t="s">
        <v>7592</v>
      </c>
      <c r="J2855" s="5">
        <v>440</v>
      </c>
    </row>
    <row r="2856" s="2" customFormat="1" ht="27" spans="1:10">
      <c r="A2856" s="6">
        <f>2854</f>
        <v>2854</v>
      </c>
      <c r="B2856" s="6" t="s">
        <v>7593</v>
      </c>
      <c r="C2856" s="6" t="s">
        <v>12</v>
      </c>
      <c r="D2856" s="6" t="s">
        <v>6677</v>
      </c>
      <c r="E2856" s="6" t="s">
        <v>7527</v>
      </c>
      <c r="F2856" s="6" t="s">
        <v>7594</v>
      </c>
      <c r="G2856" s="6" t="s">
        <v>16</v>
      </c>
      <c r="H2856" s="5">
        <v>4</v>
      </c>
      <c r="I2856" s="6" t="s">
        <v>7595</v>
      </c>
      <c r="J2856" s="5">
        <v>910</v>
      </c>
    </row>
    <row r="2857" s="2" customFormat="1" ht="27" spans="1:10">
      <c r="A2857" s="6">
        <f>2855</f>
        <v>2855</v>
      </c>
      <c r="B2857" s="6" t="s">
        <v>7596</v>
      </c>
      <c r="C2857" s="6" t="s">
        <v>12</v>
      </c>
      <c r="D2857" s="6" t="s">
        <v>6677</v>
      </c>
      <c r="E2857" s="6" t="s">
        <v>7527</v>
      </c>
      <c r="F2857" s="6" t="s">
        <v>7597</v>
      </c>
      <c r="G2857" s="6" t="s">
        <v>16</v>
      </c>
      <c r="H2857" s="5">
        <v>5</v>
      </c>
      <c r="I2857" s="6" t="s">
        <v>7598</v>
      </c>
      <c r="J2857" s="5">
        <v>1030</v>
      </c>
    </row>
    <row r="2858" s="2" customFormat="1" spans="1:10">
      <c r="A2858" s="6">
        <f>2856</f>
        <v>2856</v>
      </c>
      <c r="B2858" s="6" t="s">
        <v>7599</v>
      </c>
      <c r="C2858" s="6" t="s">
        <v>12</v>
      </c>
      <c r="D2858" s="6" t="s">
        <v>6677</v>
      </c>
      <c r="E2858" s="6" t="s">
        <v>7527</v>
      </c>
      <c r="F2858" s="6" t="s">
        <v>7600</v>
      </c>
      <c r="G2858" s="6" t="s">
        <v>16</v>
      </c>
      <c r="H2858" s="5">
        <v>2</v>
      </c>
      <c r="I2858" s="6" t="s">
        <v>7601</v>
      </c>
      <c r="J2858" s="5">
        <v>420</v>
      </c>
    </row>
    <row r="2859" s="2" customFormat="1" spans="1:10">
      <c r="A2859" s="6">
        <f>2857</f>
        <v>2857</v>
      </c>
      <c r="B2859" s="6" t="s">
        <v>7602</v>
      </c>
      <c r="C2859" s="6" t="s">
        <v>12</v>
      </c>
      <c r="D2859" s="6" t="s">
        <v>6677</v>
      </c>
      <c r="E2859" s="6" t="s">
        <v>7527</v>
      </c>
      <c r="F2859" s="6" t="s">
        <v>7603</v>
      </c>
      <c r="G2859" s="6" t="s">
        <v>16</v>
      </c>
      <c r="H2859" s="5">
        <v>2</v>
      </c>
      <c r="I2859" s="6" t="s">
        <v>7604</v>
      </c>
      <c r="J2859" s="5">
        <v>480</v>
      </c>
    </row>
    <row r="2860" s="2" customFormat="1" ht="27" spans="1:10">
      <c r="A2860" s="6">
        <f>2858</f>
        <v>2858</v>
      </c>
      <c r="B2860" s="6" t="s">
        <v>7605</v>
      </c>
      <c r="C2860" s="6" t="s">
        <v>12</v>
      </c>
      <c r="D2860" s="6" t="s">
        <v>6677</v>
      </c>
      <c r="E2860" s="6" t="s">
        <v>7527</v>
      </c>
      <c r="F2860" s="6" t="s">
        <v>7606</v>
      </c>
      <c r="G2860" s="6" t="s">
        <v>16</v>
      </c>
      <c r="H2860" s="5">
        <v>4</v>
      </c>
      <c r="I2860" s="6" t="s">
        <v>7607</v>
      </c>
      <c r="J2860" s="5">
        <v>1270</v>
      </c>
    </row>
    <row r="2861" s="2" customFormat="1" ht="27" spans="1:10">
      <c r="A2861" s="6">
        <f>2859</f>
        <v>2859</v>
      </c>
      <c r="B2861" s="6" t="s">
        <v>7608</v>
      </c>
      <c r="C2861" s="6" t="s">
        <v>12</v>
      </c>
      <c r="D2861" s="6" t="s">
        <v>6677</v>
      </c>
      <c r="E2861" s="6" t="s">
        <v>7527</v>
      </c>
      <c r="F2861" s="6" t="s">
        <v>7609</v>
      </c>
      <c r="G2861" s="6" t="s">
        <v>16</v>
      </c>
      <c r="H2861" s="5">
        <v>4</v>
      </c>
      <c r="I2861" s="6" t="s">
        <v>7610</v>
      </c>
      <c r="J2861" s="5">
        <v>750</v>
      </c>
    </row>
    <row r="2862" s="2" customFormat="1" ht="27" spans="1:10">
      <c r="A2862" s="6">
        <f>2860</f>
        <v>2860</v>
      </c>
      <c r="B2862" s="6" t="s">
        <v>7611</v>
      </c>
      <c r="C2862" s="6" t="s">
        <v>12</v>
      </c>
      <c r="D2862" s="6" t="s">
        <v>6677</v>
      </c>
      <c r="E2862" s="6" t="s">
        <v>7527</v>
      </c>
      <c r="F2862" s="6" t="s">
        <v>7116</v>
      </c>
      <c r="G2862" s="6" t="s">
        <v>16</v>
      </c>
      <c r="H2862" s="5">
        <v>4</v>
      </c>
      <c r="I2862" s="6" t="s">
        <v>7612</v>
      </c>
      <c r="J2862" s="5">
        <v>960</v>
      </c>
    </row>
    <row r="2863" s="2" customFormat="1" spans="1:10">
      <c r="A2863" s="6">
        <f>2861</f>
        <v>2861</v>
      </c>
      <c r="B2863" s="6" t="s">
        <v>7613</v>
      </c>
      <c r="C2863" s="6" t="s">
        <v>12</v>
      </c>
      <c r="D2863" s="6" t="s">
        <v>6677</v>
      </c>
      <c r="E2863" s="6" t="s">
        <v>7527</v>
      </c>
      <c r="F2863" s="6" t="s">
        <v>7614</v>
      </c>
      <c r="G2863" s="6" t="s">
        <v>16</v>
      </c>
      <c r="H2863" s="5">
        <v>2</v>
      </c>
      <c r="I2863" s="6" t="s">
        <v>7615</v>
      </c>
      <c r="J2863" s="5">
        <v>390</v>
      </c>
    </row>
    <row r="2864" s="2" customFormat="1" spans="1:10">
      <c r="A2864" s="6">
        <f>2862</f>
        <v>2862</v>
      </c>
      <c r="B2864" s="6" t="s">
        <v>7616</v>
      </c>
      <c r="C2864" s="6" t="s">
        <v>12</v>
      </c>
      <c r="D2864" s="6" t="s">
        <v>6677</v>
      </c>
      <c r="E2864" s="6" t="s">
        <v>7527</v>
      </c>
      <c r="F2864" s="6" t="s">
        <v>7617</v>
      </c>
      <c r="G2864" s="6" t="s">
        <v>16</v>
      </c>
      <c r="H2864" s="5">
        <v>3</v>
      </c>
      <c r="I2864" s="6" t="s">
        <v>7618</v>
      </c>
      <c r="J2864" s="5">
        <v>770</v>
      </c>
    </row>
    <row r="2865" s="2" customFormat="1" spans="1:10">
      <c r="A2865" s="6">
        <f>2863</f>
        <v>2863</v>
      </c>
      <c r="B2865" s="6" t="s">
        <v>7619</v>
      </c>
      <c r="C2865" s="6" t="s">
        <v>12</v>
      </c>
      <c r="D2865" s="6" t="s">
        <v>6677</v>
      </c>
      <c r="E2865" s="6" t="s">
        <v>7527</v>
      </c>
      <c r="F2865" s="6" t="s">
        <v>7620</v>
      </c>
      <c r="G2865" s="6" t="s">
        <v>16</v>
      </c>
      <c r="H2865" s="5">
        <v>2</v>
      </c>
      <c r="I2865" s="6" t="s">
        <v>7621</v>
      </c>
      <c r="J2865" s="5">
        <v>520</v>
      </c>
    </row>
    <row r="2866" s="2" customFormat="1" spans="1:10">
      <c r="A2866" s="6">
        <f>2864</f>
        <v>2864</v>
      </c>
      <c r="B2866" s="6" t="s">
        <v>7622</v>
      </c>
      <c r="C2866" s="6" t="s">
        <v>12</v>
      </c>
      <c r="D2866" s="6" t="s">
        <v>6677</v>
      </c>
      <c r="E2866" s="6" t="s">
        <v>7527</v>
      </c>
      <c r="F2866" s="6" t="s">
        <v>7623</v>
      </c>
      <c r="G2866" s="6" t="s">
        <v>16</v>
      </c>
      <c r="H2866" s="5">
        <v>1</v>
      </c>
      <c r="I2866" s="6" t="s">
        <v>7623</v>
      </c>
      <c r="J2866" s="5">
        <v>460</v>
      </c>
    </row>
    <row r="2867" s="2" customFormat="1" spans="1:10">
      <c r="A2867" s="6">
        <f>2865</f>
        <v>2865</v>
      </c>
      <c r="B2867" s="6" t="s">
        <v>7624</v>
      </c>
      <c r="C2867" s="6" t="s">
        <v>12</v>
      </c>
      <c r="D2867" s="6" t="s">
        <v>6677</v>
      </c>
      <c r="E2867" s="6" t="s">
        <v>7527</v>
      </c>
      <c r="F2867" s="6" t="s">
        <v>7625</v>
      </c>
      <c r="G2867" s="6" t="s">
        <v>16</v>
      </c>
      <c r="H2867" s="5">
        <v>1</v>
      </c>
      <c r="I2867" s="6" t="s">
        <v>7625</v>
      </c>
      <c r="J2867" s="5">
        <v>245</v>
      </c>
    </row>
    <row r="2868" s="2" customFormat="1" spans="1:10">
      <c r="A2868" s="6">
        <f>2866</f>
        <v>2866</v>
      </c>
      <c r="B2868" s="6" t="s">
        <v>7626</v>
      </c>
      <c r="C2868" s="6" t="s">
        <v>12</v>
      </c>
      <c r="D2868" s="6" t="s">
        <v>6677</v>
      </c>
      <c r="E2868" s="6" t="s">
        <v>7527</v>
      </c>
      <c r="F2868" s="6" t="s">
        <v>7627</v>
      </c>
      <c r="G2868" s="6" t="s">
        <v>16</v>
      </c>
      <c r="H2868" s="5">
        <v>1</v>
      </c>
      <c r="I2868" s="6" t="s">
        <v>7627</v>
      </c>
      <c r="J2868" s="5">
        <v>345</v>
      </c>
    </row>
    <row r="2869" s="2" customFormat="1" spans="1:10">
      <c r="A2869" s="6">
        <f>2867</f>
        <v>2867</v>
      </c>
      <c r="B2869" s="6" t="s">
        <v>7628</v>
      </c>
      <c r="C2869" s="6" t="s">
        <v>12</v>
      </c>
      <c r="D2869" s="6" t="s">
        <v>6677</v>
      </c>
      <c r="E2869" s="6" t="s">
        <v>7527</v>
      </c>
      <c r="F2869" s="6" t="s">
        <v>7629</v>
      </c>
      <c r="G2869" s="6" t="s">
        <v>16</v>
      </c>
      <c r="H2869" s="5">
        <v>1</v>
      </c>
      <c r="I2869" s="6" t="s">
        <v>7629</v>
      </c>
      <c r="J2869" s="5">
        <v>280</v>
      </c>
    </row>
    <row r="2870" s="2" customFormat="1" spans="1:10">
      <c r="A2870" s="6">
        <f>2868</f>
        <v>2868</v>
      </c>
      <c r="B2870" s="6" t="s">
        <v>7630</v>
      </c>
      <c r="C2870" s="6" t="s">
        <v>12</v>
      </c>
      <c r="D2870" s="6" t="s">
        <v>6677</v>
      </c>
      <c r="E2870" s="6" t="s">
        <v>7527</v>
      </c>
      <c r="F2870" s="6" t="s">
        <v>7631</v>
      </c>
      <c r="G2870" s="6" t="s">
        <v>16</v>
      </c>
      <c r="H2870" s="5">
        <v>1</v>
      </c>
      <c r="I2870" s="6" t="s">
        <v>7631</v>
      </c>
      <c r="J2870" s="5">
        <v>310</v>
      </c>
    </row>
    <row r="2871" s="2" customFormat="1" spans="1:10">
      <c r="A2871" s="6">
        <f>2869</f>
        <v>2869</v>
      </c>
      <c r="B2871" s="6" t="s">
        <v>7632</v>
      </c>
      <c r="C2871" s="6" t="s">
        <v>12</v>
      </c>
      <c r="D2871" s="6" t="s">
        <v>6677</v>
      </c>
      <c r="E2871" s="6" t="s">
        <v>7527</v>
      </c>
      <c r="F2871" s="6" t="s">
        <v>7633</v>
      </c>
      <c r="G2871" s="6" t="s">
        <v>16</v>
      </c>
      <c r="H2871" s="5">
        <v>1</v>
      </c>
      <c r="I2871" s="6" t="s">
        <v>7633</v>
      </c>
      <c r="J2871" s="5">
        <v>340</v>
      </c>
    </row>
    <row r="2872" s="2" customFormat="1" ht="27" spans="1:10">
      <c r="A2872" s="6">
        <f>2870</f>
        <v>2870</v>
      </c>
      <c r="B2872" s="6" t="s">
        <v>7634</v>
      </c>
      <c r="C2872" s="6" t="s">
        <v>12</v>
      </c>
      <c r="D2872" s="6" t="s">
        <v>6677</v>
      </c>
      <c r="E2872" s="6" t="s">
        <v>7527</v>
      </c>
      <c r="F2872" s="6" t="s">
        <v>7635</v>
      </c>
      <c r="G2872" s="6" t="s">
        <v>16</v>
      </c>
      <c r="H2872" s="5">
        <v>7</v>
      </c>
      <c r="I2872" s="6" t="s">
        <v>7636</v>
      </c>
      <c r="J2872" s="5">
        <v>930</v>
      </c>
    </row>
    <row r="2873" s="2" customFormat="1" spans="1:10">
      <c r="A2873" s="6">
        <f>2871</f>
        <v>2871</v>
      </c>
      <c r="B2873" s="6" t="s">
        <v>7637</v>
      </c>
      <c r="C2873" s="6" t="s">
        <v>12</v>
      </c>
      <c r="D2873" s="6" t="s">
        <v>6677</v>
      </c>
      <c r="E2873" s="6" t="s">
        <v>7527</v>
      </c>
      <c r="F2873" s="6" t="s">
        <v>7638</v>
      </c>
      <c r="G2873" s="6" t="s">
        <v>16</v>
      </c>
      <c r="H2873" s="5">
        <v>1</v>
      </c>
      <c r="I2873" s="6" t="s">
        <v>7638</v>
      </c>
      <c r="J2873" s="5">
        <v>280</v>
      </c>
    </row>
    <row r="2874" s="2" customFormat="1" spans="1:10">
      <c r="A2874" s="6">
        <f>2872</f>
        <v>2872</v>
      </c>
      <c r="B2874" s="6" t="s">
        <v>7639</v>
      </c>
      <c r="C2874" s="6" t="s">
        <v>12</v>
      </c>
      <c r="D2874" s="6" t="s">
        <v>6677</v>
      </c>
      <c r="E2874" s="6" t="s">
        <v>7527</v>
      </c>
      <c r="F2874" s="6" t="s">
        <v>7640</v>
      </c>
      <c r="G2874" s="6" t="s">
        <v>16</v>
      </c>
      <c r="H2874" s="5">
        <v>1</v>
      </c>
      <c r="I2874" s="6" t="s">
        <v>7640</v>
      </c>
      <c r="J2874" s="5">
        <v>270</v>
      </c>
    </row>
    <row r="2875" s="2" customFormat="1" spans="1:10">
      <c r="A2875" s="6">
        <f>2873</f>
        <v>2873</v>
      </c>
      <c r="B2875" s="6" t="s">
        <v>7641</v>
      </c>
      <c r="C2875" s="6" t="s">
        <v>12</v>
      </c>
      <c r="D2875" s="6" t="s">
        <v>6677</v>
      </c>
      <c r="E2875" s="6" t="s">
        <v>7527</v>
      </c>
      <c r="F2875" s="6" t="s">
        <v>7642</v>
      </c>
      <c r="G2875" s="6" t="s">
        <v>16</v>
      </c>
      <c r="H2875" s="5">
        <v>1</v>
      </c>
      <c r="I2875" s="6" t="s">
        <v>7642</v>
      </c>
      <c r="J2875" s="5">
        <v>540</v>
      </c>
    </row>
    <row r="2876" s="2" customFormat="1" spans="1:10">
      <c r="A2876" s="6">
        <f>2874</f>
        <v>2874</v>
      </c>
      <c r="B2876" s="6" t="s">
        <v>7643</v>
      </c>
      <c r="C2876" s="6" t="s">
        <v>12</v>
      </c>
      <c r="D2876" s="6" t="s">
        <v>6677</v>
      </c>
      <c r="E2876" s="6" t="s">
        <v>7527</v>
      </c>
      <c r="F2876" s="6" t="s">
        <v>7644</v>
      </c>
      <c r="G2876" s="6" t="s">
        <v>16</v>
      </c>
      <c r="H2876" s="5">
        <v>2</v>
      </c>
      <c r="I2876" s="6" t="s">
        <v>7645</v>
      </c>
      <c r="J2876" s="5">
        <v>430</v>
      </c>
    </row>
    <row r="2877" s="2" customFormat="1" ht="27" spans="1:10">
      <c r="A2877" s="6">
        <f>2875</f>
        <v>2875</v>
      </c>
      <c r="B2877" s="6" t="s">
        <v>7646</v>
      </c>
      <c r="C2877" s="6" t="s">
        <v>12</v>
      </c>
      <c r="D2877" s="6" t="s">
        <v>6677</v>
      </c>
      <c r="E2877" s="6" t="s">
        <v>7527</v>
      </c>
      <c r="F2877" s="6" t="s">
        <v>7647</v>
      </c>
      <c r="G2877" s="6" t="s">
        <v>16</v>
      </c>
      <c r="H2877" s="5">
        <v>4</v>
      </c>
      <c r="I2877" s="6" t="s">
        <v>7648</v>
      </c>
      <c r="J2877" s="5">
        <v>1160</v>
      </c>
    </row>
    <row r="2878" s="2" customFormat="1" spans="1:10">
      <c r="A2878" s="6">
        <f>2876</f>
        <v>2876</v>
      </c>
      <c r="B2878" s="6" t="s">
        <v>7649</v>
      </c>
      <c r="C2878" s="6" t="s">
        <v>12</v>
      </c>
      <c r="D2878" s="6" t="s">
        <v>6677</v>
      </c>
      <c r="E2878" s="6" t="s">
        <v>7527</v>
      </c>
      <c r="F2878" s="6" t="s">
        <v>7650</v>
      </c>
      <c r="G2878" s="6" t="s">
        <v>16</v>
      </c>
      <c r="H2878" s="5">
        <v>1</v>
      </c>
      <c r="I2878" s="6" t="s">
        <v>7650</v>
      </c>
      <c r="J2878" s="5">
        <v>280</v>
      </c>
    </row>
    <row r="2879" s="2" customFormat="1" spans="1:10">
      <c r="A2879" s="6">
        <f>2877</f>
        <v>2877</v>
      </c>
      <c r="B2879" s="6" t="s">
        <v>7651</v>
      </c>
      <c r="C2879" s="6" t="s">
        <v>12</v>
      </c>
      <c r="D2879" s="6" t="s">
        <v>6677</v>
      </c>
      <c r="E2879" s="6" t="s">
        <v>7527</v>
      </c>
      <c r="F2879" s="6" t="s">
        <v>7652</v>
      </c>
      <c r="G2879" s="6" t="s">
        <v>16</v>
      </c>
      <c r="H2879" s="5">
        <v>1</v>
      </c>
      <c r="I2879" s="6" t="s">
        <v>7652</v>
      </c>
      <c r="J2879" s="5">
        <v>210</v>
      </c>
    </row>
    <row r="2880" s="2" customFormat="1" spans="1:10">
      <c r="A2880" s="6">
        <f>2878</f>
        <v>2878</v>
      </c>
      <c r="B2880" s="6" t="s">
        <v>7653</v>
      </c>
      <c r="C2880" s="6" t="s">
        <v>12</v>
      </c>
      <c r="D2880" s="6" t="s">
        <v>6677</v>
      </c>
      <c r="E2880" s="6" t="s">
        <v>7527</v>
      </c>
      <c r="F2880" s="6" t="s">
        <v>7654</v>
      </c>
      <c r="G2880" s="6" t="s">
        <v>16</v>
      </c>
      <c r="H2880" s="5">
        <v>3</v>
      </c>
      <c r="I2880" s="6" t="s">
        <v>7655</v>
      </c>
      <c r="J2880" s="5">
        <v>710</v>
      </c>
    </row>
    <row r="2881" s="2" customFormat="1" ht="27" spans="1:10">
      <c r="A2881" s="6">
        <f>2879</f>
        <v>2879</v>
      </c>
      <c r="B2881" s="6" t="s">
        <v>7656</v>
      </c>
      <c r="C2881" s="6" t="s">
        <v>12</v>
      </c>
      <c r="D2881" s="6" t="s">
        <v>6677</v>
      </c>
      <c r="E2881" s="6" t="s">
        <v>7527</v>
      </c>
      <c r="F2881" s="6" t="s">
        <v>7657</v>
      </c>
      <c r="G2881" s="6" t="s">
        <v>16</v>
      </c>
      <c r="H2881" s="5">
        <v>6</v>
      </c>
      <c r="I2881" s="6" t="s">
        <v>7658</v>
      </c>
      <c r="J2881" s="5">
        <v>760</v>
      </c>
    </row>
    <row r="2882" s="2" customFormat="1" spans="1:10">
      <c r="A2882" s="6">
        <f>2880</f>
        <v>2880</v>
      </c>
      <c r="B2882" s="6" t="s">
        <v>7659</v>
      </c>
      <c r="C2882" s="6" t="s">
        <v>12</v>
      </c>
      <c r="D2882" s="6" t="s">
        <v>6677</v>
      </c>
      <c r="E2882" s="6" t="s">
        <v>7527</v>
      </c>
      <c r="F2882" s="6" t="s">
        <v>7660</v>
      </c>
      <c r="G2882" s="6" t="s">
        <v>16</v>
      </c>
      <c r="H2882" s="5">
        <v>2</v>
      </c>
      <c r="I2882" s="6" t="s">
        <v>7661</v>
      </c>
      <c r="J2882" s="5">
        <v>980</v>
      </c>
    </row>
    <row r="2883" s="2" customFormat="1" ht="27" spans="1:10">
      <c r="A2883" s="6">
        <f>2881</f>
        <v>2881</v>
      </c>
      <c r="B2883" s="6" t="s">
        <v>7662</v>
      </c>
      <c r="C2883" s="6" t="s">
        <v>12</v>
      </c>
      <c r="D2883" s="6" t="s">
        <v>6677</v>
      </c>
      <c r="E2883" s="6" t="s">
        <v>7527</v>
      </c>
      <c r="F2883" s="6" t="s">
        <v>7663</v>
      </c>
      <c r="G2883" s="6" t="s">
        <v>16</v>
      </c>
      <c r="H2883" s="5">
        <v>5</v>
      </c>
      <c r="I2883" s="6" t="s">
        <v>7664</v>
      </c>
      <c r="J2883" s="5">
        <v>950</v>
      </c>
    </row>
    <row r="2884" s="2" customFormat="1" spans="1:10">
      <c r="A2884" s="6">
        <f>2882</f>
        <v>2882</v>
      </c>
      <c r="B2884" s="6" t="s">
        <v>7665</v>
      </c>
      <c r="C2884" s="6" t="s">
        <v>12</v>
      </c>
      <c r="D2884" s="6" t="s">
        <v>6677</v>
      </c>
      <c r="E2884" s="6" t="s">
        <v>7527</v>
      </c>
      <c r="F2884" s="6" t="s">
        <v>7666</v>
      </c>
      <c r="G2884" s="6" t="s">
        <v>16</v>
      </c>
      <c r="H2884" s="5">
        <v>1</v>
      </c>
      <c r="I2884" s="6" t="s">
        <v>7666</v>
      </c>
      <c r="J2884" s="5">
        <v>235</v>
      </c>
    </row>
    <row r="2885" s="2" customFormat="1" spans="1:10">
      <c r="A2885" s="6">
        <f>2883</f>
        <v>2883</v>
      </c>
      <c r="B2885" s="6" t="s">
        <v>7667</v>
      </c>
      <c r="C2885" s="6" t="s">
        <v>12</v>
      </c>
      <c r="D2885" s="6" t="s">
        <v>6677</v>
      </c>
      <c r="E2885" s="6" t="s">
        <v>7527</v>
      </c>
      <c r="F2885" s="6" t="s">
        <v>7668</v>
      </c>
      <c r="G2885" s="6" t="s">
        <v>16</v>
      </c>
      <c r="H2885" s="5">
        <v>2</v>
      </c>
      <c r="I2885" s="6" t="s">
        <v>7669</v>
      </c>
      <c r="J2885" s="5">
        <v>520</v>
      </c>
    </row>
    <row r="2886" s="2" customFormat="1" ht="27" spans="1:10">
      <c r="A2886" s="6">
        <f>2884</f>
        <v>2884</v>
      </c>
      <c r="B2886" s="6" t="s">
        <v>7670</v>
      </c>
      <c r="C2886" s="6" t="s">
        <v>12</v>
      </c>
      <c r="D2886" s="6" t="s">
        <v>6677</v>
      </c>
      <c r="E2886" s="6" t="s">
        <v>7527</v>
      </c>
      <c r="F2886" s="6" t="s">
        <v>7671</v>
      </c>
      <c r="G2886" s="6" t="s">
        <v>16</v>
      </c>
      <c r="H2886" s="5">
        <v>5</v>
      </c>
      <c r="I2886" s="6" t="s">
        <v>7672</v>
      </c>
      <c r="J2886" s="5">
        <v>1775</v>
      </c>
    </row>
    <row r="2887" s="2" customFormat="1" spans="1:10">
      <c r="A2887" s="6">
        <f>2885</f>
        <v>2885</v>
      </c>
      <c r="B2887" s="6" t="s">
        <v>7673</v>
      </c>
      <c r="C2887" s="6" t="s">
        <v>12</v>
      </c>
      <c r="D2887" s="6" t="s">
        <v>6677</v>
      </c>
      <c r="E2887" s="6" t="s">
        <v>7527</v>
      </c>
      <c r="F2887" s="6" t="s">
        <v>7674</v>
      </c>
      <c r="G2887" s="6" t="s">
        <v>16</v>
      </c>
      <c r="H2887" s="5">
        <v>2</v>
      </c>
      <c r="I2887" s="6" t="s">
        <v>7675</v>
      </c>
      <c r="J2887" s="5">
        <v>840</v>
      </c>
    </row>
    <row r="2888" s="2" customFormat="1" spans="1:10">
      <c r="A2888" s="6">
        <f>2886</f>
        <v>2886</v>
      </c>
      <c r="B2888" s="6" t="s">
        <v>7676</v>
      </c>
      <c r="C2888" s="6" t="s">
        <v>12</v>
      </c>
      <c r="D2888" s="6" t="s">
        <v>6677</v>
      </c>
      <c r="E2888" s="6" t="s">
        <v>7527</v>
      </c>
      <c r="F2888" s="6" t="s">
        <v>7677</v>
      </c>
      <c r="G2888" s="6" t="s">
        <v>16</v>
      </c>
      <c r="H2888" s="5">
        <v>2</v>
      </c>
      <c r="I2888" s="6" t="s">
        <v>7678</v>
      </c>
      <c r="J2888" s="5">
        <v>600</v>
      </c>
    </row>
    <row r="2889" s="2" customFormat="1" spans="1:10">
      <c r="A2889" s="6">
        <f>2887</f>
        <v>2887</v>
      </c>
      <c r="B2889" s="6" t="s">
        <v>7679</v>
      </c>
      <c r="C2889" s="6" t="s">
        <v>12</v>
      </c>
      <c r="D2889" s="6" t="s">
        <v>6677</v>
      </c>
      <c r="E2889" s="6" t="s">
        <v>7527</v>
      </c>
      <c r="F2889" s="6" t="s">
        <v>7680</v>
      </c>
      <c r="G2889" s="6" t="s">
        <v>16</v>
      </c>
      <c r="H2889" s="5">
        <v>1</v>
      </c>
      <c r="I2889" s="6" t="s">
        <v>7680</v>
      </c>
      <c r="J2889" s="5">
        <v>245</v>
      </c>
    </row>
    <row r="2890" s="2" customFormat="1" spans="1:10">
      <c r="A2890" s="6">
        <f>2888</f>
        <v>2888</v>
      </c>
      <c r="B2890" s="6" t="s">
        <v>7681</v>
      </c>
      <c r="C2890" s="6" t="s">
        <v>12</v>
      </c>
      <c r="D2890" s="6" t="s">
        <v>6677</v>
      </c>
      <c r="E2890" s="6" t="s">
        <v>7527</v>
      </c>
      <c r="F2890" s="6" t="s">
        <v>7682</v>
      </c>
      <c r="G2890" s="6" t="s">
        <v>16</v>
      </c>
      <c r="H2890" s="5">
        <v>1</v>
      </c>
      <c r="I2890" s="6" t="s">
        <v>7682</v>
      </c>
      <c r="J2890" s="5">
        <v>310</v>
      </c>
    </row>
    <row r="2891" s="2" customFormat="1" spans="1:10">
      <c r="A2891" s="6">
        <f>2889</f>
        <v>2889</v>
      </c>
      <c r="B2891" s="6" t="s">
        <v>7683</v>
      </c>
      <c r="C2891" s="6" t="s">
        <v>12</v>
      </c>
      <c r="D2891" s="6" t="s">
        <v>6677</v>
      </c>
      <c r="E2891" s="6" t="s">
        <v>7527</v>
      </c>
      <c r="F2891" s="6" t="s">
        <v>7684</v>
      </c>
      <c r="G2891" s="6" t="s">
        <v>16</v>
      </c>
      <c r="H2891" s="5">
        <v>3</v>
      </c>
      <c r="I2891" s="6" t="s">
        <v>7685</v>
      </c>
      <c r="J2891" s="5">
        <v>920</v>
      </c>
    </row>
    <row r="2892" s="2" customFormat="1" spans="1:10">
      <c r="A2892" s="6">
        <f>2890</f>
        <v>2890</v>
      </c>
      <c r="B2892" s="6" t="s">
        <v>7686</v>
      </c>
      <c r="C2892" s="6" t="s">
        <v>12</v>
      </c>
      <c r="D2892" s="6" t="s">
        <v>6677</v>
      </c>
      <c r="E2892" s="6" t="s">
        <v>7527</v>
      </c>
      <c r="F2892" s="6" t="s">
        <v>7687</v>
      </c>
      <c r="G2892" s="6" t="s">
        <v>16</v>
      </c>
      <c r="H2892" s="5">
        <v>2</v>
      </c>
      <c r="I2892" s="6" t="s">
        <v>7688</v>
      </c>
      <c r="J2892" s="5">
        <v>880</v>
      </c>
    </row>
    <row r="2893" s="2" customFormat="1" ht="40.5" spans="1:10">
      <c r="A2893" s="6">
        <f>2891</f>
        <v>2891</v>
      </c>
      <c r="B2893" s="6" t="s">
        <v>7689</v>
      </c>
      <c r="C2893" s="6" t="s">
        <v>12</v>
      </c>
      <c r="D2893" s="6" t="s">
        <v>6677</v>
      </c>
      <c r="E2893" s="6" t="s">
        <v>7527</v>
      </c>
      <c r="F2893" s="6" t="s">
        <v>7690</v>
      </c>
      <c r="G2893" s="6" t="s">
        <v>16</v>
      </c>
      <c r="H2893" s="5">
        <v>7</v>
      </c>
      <c r="I2893" s="6" t="s">
        <v>7691</v>
      </c>
      <c r="J2893" s="5">
        <v>1390</v>
      </c>
    </row>
    <row r="2894" s="2" customFormat="1" spans="1:10">
      <c r="A2894" s="6">
        <f>2892</f>
        <v>2892</v>
      </c>
      <c r="B2894" s="6" t="s">
        <v>7692</v>
      </c>
      <c r="C2894" s="6" t="s">
        <v>12</v>
      </c>
      <c r="D2894" s="6" t="s">
        <v>6677</v>
      </c>
      <c r="E2894" s="6" t="s">
        <v>7527</v>
      </c>
      <c r="F2894" s="6" t="s">
        <v>7693</v>
      </c>
      <c r="G2894" s="6" t="s">
        <v>16</v>
      </c>
      <c r="H2894" s="5">
        <v>2</v>
      </c>
      <c r="I2894" s="6" t="s">
        <v>7694</v>
      </c>
      <c r="J2894" s="5">
        <v>500</v>
      </c>
    </row>
    <row r="2895" s="2" customFormat="1" spans="1:10">
      <c r="A2895" s="6">
        <f>2893</f>
        <v>2893</v>
      </c>
      <c r="B2895" s="6" t="s">
        <v>7695</v>
      </c>
      <c r="C2895" s="6" t="s">
        <v>12</v>
      </c>
      <c r="D2895" s="6" t="s">
        <v>6677</v>
      </c>
      <c r="E2895" s="6" t="s">
        <v>7527</v>
      </c>
      <c r="F2895" s="6" t="s">
        <v>7696</v>
      </c>
      <c r="G2895" s="6" t="s">
        <v>16</v>
      </c>
      <c r="H2895" s="5">
        <v>3</v>
      </c>
      <c r="I2895" s="6" t="s">
        <v>7697</v>
      </c>
      <c r="J2895" s="5">
        <v>720</v>
      </c>
    </row>
    <row r="2896" s="2" customFormat="1" spans="1:10">
      <c r="A2896" s="6">
        <f>2894</f>
        <v>2894</v>
      </c>
      <c r="B2896" s="6" t="s">
        <v>7698</v>
      </c>
      <c r="C2896" s="6" t="s">
        <v>12</v>
      </c>
      <c r="D2896" s="6" t="s">
        <v>6677</v>
      </c>
      <c r="E2896" s="6" t="s">
        <v>7527</v>
      </c>
      <c r="F2896" s="6" t="s">
        <v>7699</v>
      </c>
      <c r="G2896" s="6" t="s">
        <v>16</v>
      </c>
      <c r="H2896" s="5">
        <v>1</v>
      </c>
      <c r="I2896" s="6" t="s">
        <v>7699</v>
      </c>
      <c r="J2896" s="5">
        <v>270</v>
      </c>
    </row>
    <row r="2897" s="2" customFormat="1" spans="1:10">
      <c r="A2897" s="6">
        <f>2895</f>
        <v>2895</v>
      </c>
      <c r="B2897" s="6" t="s">
        <v>7700</v>
      </c>
      <c r="C2897" s="6" t="s">
        <v>12</v>
      </c>
      <c r="D2897" s="6" t="s">
        <v>6677</v>
      </c>
      <c r="E2897" s="6" t="s">
        <v>7527</v>
      </c>
      <c r="F2897" s="6" t="s">
        <v>7701</v>
      </c>
      <c r="G2897" s="6" t="s">
        <v>16</v>
      </c>
      <c r="H2897" s="5">
        <v>1</v>
      </c>
      <c r="I2897" s="6" t="s">
        <v>7701</v>
      </c>
      <c r="J2897" s="5">
        <v>245</v>
      </c>
    </row>
    <row r="2898" s="2" customFormat="1" spans="1:10">
      <c r="A2898" s="6">
        <f>2896</f>
        <v>2896</v>
      </c>
      <c r="B2898" s="6" t="s">
        <v>7702</v>
      </c>
      <c r="C2898" s="6" t="s">
        <v>12</v>
      </c>
      <c r="D2898" s="6" t="s">
        <v>6677</v>
      </c>
      <c r="E2898" s="6" t="s">
        <v>7527</v>
      </c>
      <c r="F2898" s="6" t="s">
        <v>7703</v>
      </c>
      <c r="G2898" s="6" t="s">
        <v>16</v>
      </c>
      <c r="H2898" s="5">
        <v>2</v>
      </c>
      <c r="I2898" s="6" t="s">
        <v>7704</v>
      </c>
      <c r="J2898" s="5">
        <v>1080</v>
      </c>
    </row>
    <row r="2899" s="2" customFormat="1" spans="1:10">
      <c r="A2899" s="6">
        <f>2897</f>
        <v>2897</v>
      </c>
      <c r="B2899" s="6" t="s">
        <v>7705</v>
      </c>
      <c r="C2899" s="6" t="s">
        <v>12</v>
      </c>
      <c r="D2899" s="6" t="s">
        <v>6677</v>
      </c>
      <c r="E2899" s="6" t="s">
        <v>7527</v>
      </c>
      <c r="F2899" s="6" t="s">
        <v>7706</v>
      </c>
      <c r="G2899" s="6" t="s">
        <v>16</v>
      </c>
      <c r="H2899" s="5">
        <v>1</v>
      </c>
      <c r="I2899" s="6" t="s">
        <v>7706</v>
      </c>
      <c r="J2899" s="5">
        <v>310</v>
      </c>
    </row>
    <row r="2900" s="2" customFormat="1" ht="27" spans="1:10">
      <c r="A2900" s="6">
        <f>2898</f>
        <v>2898</v>
      </c>
      <c r="B2900" s="6" t="s">
        <v>7707</v>
      </c>
      <c r="C2900" s="6" t="s">
        <v>12</v>
      </c>
      <c r="D2900" s="6" t="s">
        <v>6677</v>
      </c>
      <c r="E2900" s="6" t="s">
        <v>7527</v>
      </c>
      <c r="F2900" s="6" t="s">
        <v>7708</v>
      </c>
      <c r="G2900" s="6" t="s">
        <v>16</v>
      </c>
      <c r="H2900" s="5">
        <v>5</v>
      </c>
      <c r="I2900" s="6" t="s">
        <v>7709</v>
      </c>
      <c r="J2900" s="5">
        <v>945</v>
      </c>
    </row>
    <row r="2901" s="2" customFormat="1" spans="1:10">
      <c r="A2901" s="6">
        <f>2899</f>
        <v>2899</v>
      </c>
      <c r="B2901" s="6" t="s">
        <v>7710</v>
      </c>
      <c r="C2901" s="6" t="s">
        <v>12</v>
      </c>
      <c r="D2901" s="6" t="s">
        <v>6677</v>
      </c>
      <c r="E2901" s="6" t="s">
        <v>7527</v>
      </c>
      <c r="F2901" s="6" t="s">
        <v>7711</v>
      </c>
      <c r="G2901" s="6" t="s">
        <v>16</v>
      </c>
      <c r="H2901" s="5">
        <v>1</v>
      </c>
      <c r="I2901" s="6" t="s">
        <v>7711</v>
      </c>
      <c r="J2901" s="5">
        <v>405</v>
      </c>
    </row>
    <row r="2902" s="2" customFormat="1" ht="27" spans="1:10">
      <c r="A2902" s="6">
        <f>2900</f>
        <v>2900</v>
      </c>
      <c r="B2902" s="6" t="s">
        <v>7712</v>
      </c>
      <c r="C2902" s="6" t="s">
        <v>12</v>
      </c>
      <c r="D2902" s="6" t="s">
        <v>6677</v>
      </c>
      <c r="E2902" s="6" t="s">
        <v>7527</v>
      </c>
      <c r="F2902" s="6" t="s">
        <v>7713</v>
      </c>
      <c r="G2902" s="6" t="s">
        <v>16</v>
      </c>
      <c r="H2902" s="5">
        <v>5</v>
      </c>
      <c r="I2902" s="6" t="s">
        <v>7714</v>
      </c>
      <c r="J2902" s="5">
        <v>1200</v>
      </c>
    </row>
    <row r="2903" s="2" customFormat="1" spans="1:10">
      <c r="A2903" s="6">
        <f>2901</f>
        <v>2901</v>
      </c>
      <c r="B2903" s="6" t="s">
        <v>7715</v>
      </c>
      <c r="C2903" s="6" t="s">
        <v>12</v>
      </c>
      <c r="D2903" s="6" t="s">
        <v>6677</v>
      </c>
      <c r="E2903" s="6" t="s">
        <v>7527</v>
      </c>
      <c r="F2903" s="6" t="s">
        <v>7716</v>
      </c>
      <c r="G2903" s="6" t="s">
        <v>16</v>
      </c>
      <c r="H2903" s="5">
        <v>2</v>
      </c>
      <c r="I2903" s="6" t="s">
        <v>7717</v>
      </c>
      <c r="J2903" s="5">
        <v>880</v>
      </c>
    </row>
    <row r="2904" s="2" customFormat="1" spans="1:10">
      <c r="A2904" s="6">
        <f>2902</f>
        <v>2902</v>
      </c>
      <c r="B2904" s="6" t="s">
        <v>7718</v>
      </c>
      <c r="C2904" s="6" t="s">
        <v>12</v>
      </c>
      <c r="D2904" s="6" t="s">
        <v>6677</v>
      </c>
      <c r="E2904" s="6" t="s">
        <v>7527</v>
      </c>
      <c r="F2904" s="6" t="s">
        <v>7719</v>
      </c>
      <c r="G2904" s="6" t="s">
        <v>16</v>
      </c>
      <c r="H2904" s="5">
        <v>3</v>
      </c>
      <c r="I2904" s="6" t="s">
        <v>7720</v>
      </c>
      <c r="J2904" s="5">
        <v>580</v>
      </c>
    </row>
    <row r="2905" s="2" customFormat="1" spans="1:10">
      <c r="A2905" s="6">
        <f>2903</f>
        <v>2903</v>
      </c>
      <c r="B2905" s="6" t="s">
        <v>7721</v>
      </c>
      <c r="C2905" s="6" t="s">
        <v>12</v>
      </c>
      <c r="D2905" s="6" t="s">
        <v>6677</v>
      </c>
      <c r="E2905" s="6" t="s">
        <v>7527</v>
      </c>
      <c r="F2905" s="6" t="s">
        <v>7722</v>
      </c>
      <c r="G2905" s="6" t="s">
        <v>16</v>
      </c>
      <c r="H2905" s="5">
        <v>3</v>
      </c>
      <c r="I2905" s="6" t="s">
        <v>7723</v>
      </c>
      <c r="J2905" s="5">
        <v>780</v>
      </c>
    </row>
    <row r="2906" s="2" customFormat="1" spans="1:10">
      <c r="A2906" s="6">
        <f>2904</f>
        <v>2904</v>
      </c>
      <c r="B2906" s="6" t="s">
        <v>7724</v>
      </c>
      <c r="C2906" s="6" t="s">
        <v>12</v>
      </c>
      <c r="D2906" s="6" t="s">
        <v>6677</v>
      </c>
      <c r="E2906" s="6" t="s">
        <v>7527</v>
      </c>
      <c r="F2906" s="6" t="s">
        <v>7725</v>
      </c>
      <c r="G2906" s="6" t="s">
        <v>16</v>
      </c>
      <c r="H2906" s="5">
        <v>1</v>
      </c>
      <c r="I2906" s="6" t="s">
        <v>7725</v>
      </c>
      <c r="J2906" s="5">
        <v>245</v>
      </c>
    </row>
    <row r="2907" s="2" customFormat="1" spans="1:10">
      <c r="A2907" s="6">
        <f>2905</f>
        <v>2905</v>
      </c>
      <c r="B2907" s="6" t="s">
        <v>7726</v>
      </c>
      <c r="C2907" s="6" t="s">
        <v>12</v>
      </c>
      <c r="D2907" s="6" t="s">
        <v>6677</v>
      </c>
      <c r="E2907" s="6" t="s">
        <v>7527</v>
      </c>
      <c r="F2907" s="6" t="s">
        <v>7727</v>
      </c>
      <c r="G2907" s="6" t="s">
        <v>16</v>
      </c>
      <c r="H2907" s="5">
        <v>1</v>
      </c>
      <c r="I2907" s="6" t="s">
        <v>7727</v>
      </c>
      <c r="J2907" s="5">
        <v>340</v>
      </c>
    </row>
    <row r="2908" s="2" customFormat="1" spans="1:10">
      <c r="A2908" s="6">
        <f>2906</f>
        <v>2906</v>
      </c>
      <c r="B2908" s="6" t="s">
        <v>7728</v>
      </c>
      <c r="C2908" s="6" t="s">
        <v>12</v>
      </c>
      <c r="D2908" s="6" t="s">
        <v>6677</v>
      </c>
      <c r="E2908" s="6" t="s">
        <v>7527</v>
      </c>
      <c r="F2908" s="6" t="s">
        <v>7729</v>
      </c>
      <c r="G2908" s="6" t="s">
        <v>16</v>
      </c>
      <c r="H2908" s="5">
        <v>3</v>
      </c>
      <c r="I2908" s="6" t="s">
        <v>7730</v>
      </c>
      <c r="J2908" s="5">
        <v>1320</v>
      </c>
    </row>
    <row r="2909" s="2" customFormat="1" spans="1:10">
      <c r="A2909" s="6">
        <f>2907</f>
        <v>2907</v>
      </c>
      <c r="B2909" s="6" t="s">
        <v>7731</v>
      </c>
      <c r="C2909" s="6" t="s">
        <v>12</v>
      </c>
      <c r="D2909" s="6" t="s">
        <v>6677</v>
      </c>
      <c r="E2909" s="6" t="s">
        <v>7527</v>
      </c>
      <c r="F2909" s="6" t="s">
        <v>7732</v>
      </c>
      <c r="G2909" s="6" t="s">
        <v>16</v>
      </c>
      <c r="H2909" s="5">
        <v>2</v>
      </c>
      <c r="I2909" s="6" t="s">
        <v>7733</v>
      </c>
      <c r="J2909" s="5">
        <v>1080</v>
      </c>
    </row>
    <row r="2910" s="2" customFormat="1" spans="1:10">
      <c r="A2910" s="6">
        <f>2908</f>
        <v>2908</v>
      </c>
      <c r="B2910" s="6" t="s">
        <v>7734</v>
      </c>
      <c r="C2910" s="6" t="s">
        <v>12</v>
      </c>
      <c r="D2910" s="6" t="s">
        <v>6677</v>
      </c>
      <c r="E2910" s="6" t="s">
        <v>7527</v>
      </c>
      <c r="F2910" s="6" t="s">
        <v>7735</v>
      </c>
      <c r="G2910" s="6" t="s">
        <v>16</v>
      </c>
      <c r="H2910" s="5">
        <v>1</v>
      </c>
      <c r="I2910" s="6" t="s">
        <v>7735</v>
      </c>
      <c r="J2910" s="5">
        <v>210</v>
      </c>
    </row>
    <row r="2911" s="2" customFormat="1" spans="1:10">
      <c r="A2911" s="6">
        <f>2909</f>
        <v>2909</v>
      </c>
      <c r="B2911" s="6" t="s">
        <v>7736</v>
      </c>
      <c r="C2911" s="6" t="s">
        <v>12</v>
      </c>
      <c r="D2911" s="6" t="s">
        <v>6677</v>
      </c>
      <c r="E2911" s="6" t="s">
        <v>7527</v>
      </c>
      <c r="F2911" s="6" t="s">
        <v>7737</v>
      </c>
      <c r="G2911" s="6" t="s">
        <v>16</v>
      </c>
      <c r="H2911" s="5">
        <v>2</v>
      </c>
      <c r="I2911" s="6" t="s">
        <v>7738</v>
      </c>
      <c r="J2911" s="5">
        <v>440</v>
      </c>
    </row>
    <row r="2912" s="2" customFormat="1" spans="1:10">
      <c r="A2912" s="6">
        <f>2910</f>
        <v>2910</v>
      </c>
      <c r="B2912" s="6" t="s">
        <v>7739</v>
      </c>
      <c r="C2912" s="6" t="s">
        <v>12</v>
      </c>
      <c r="D2912" s="6" t="s">
        <v>6677</v>
      </c>
      <c r="E2912" s="6" t="s">
        <v>7527</v>
      </c>
      <c r="F2912" s="6" t="s">
        <v>7740</v>
      </c>
      <c r="G2912" s="6" t="s">
        <v>16</v>
      </c>
      <c r="H2912" s="5">
        <v>1</v>
      </c>
      <c r="I2912" s="6" t="s">
        <v>7740</v>
      </c>
      <c r="J2912" s="5">
        <v>290</v>
      </c>
    </row>
    <row r="2913" s="2" customFormat="1" spans="1:10">
      <c r="A2913" s="6">
        <f>2911</f>
        <v>2911</v>
      </c>
      <c r="B2913" s="6" t="s">
        <v>7741</v>
      </c>
      <c r="C2913" s="6" t="s">
        <v>12</v>
      </c>
      <c r="D2913" s="6" t="s">
        <v>6677</v>
      </c>
      <c r="E2913" s="6" t="s">
        <v>7527</v>
      </c>
      <c r="F2913" s="6" t="s">
        <v>7742</v>
      </c>
      <c r="G2913" s="6" t="s">
        <v>16</v>
      </c>
      <c r="H2913" s="5">
        <v>1</v>
      </c>
      <c r="I2913" s="6" t="s">
        <v>7742</v>
      </c>
      <c r="J2913" s="5">
        <v>340</v>
      </c>
    </row>
    <row r="2914" s="2" customFormat="1" spans="1:10">
      <c r="A2914" s="6">
        <f>2912</f>
        <v>2912</v>
      </c>
      <c r="B2914" s="6" t="s">
        <v>7743</v>
      </c>
      <c r="C2914" s="6" t="s">
        <v>12</v>
      </c>
      <c r="D2914" s="6" t="s">
        <v>6677</v>
      </c>
      <c r="E2914" s="6" t="s">
        <v>7527</v>
      </c>
      <c r="F2914" s="6" t="s">
        <v>7744</v>
      </c>
      <c r="G2914" s="6" t="s">
        <v>16</v>
      </c>
      <c r="H2914" s="5">
        <v>2</v>
      </c>
      <c r="I2914" s="6" t="s">
        <v>7745</v>
      </c>
      <c r="J2914" s="5">
        <v>870</v>
      </c>
    </row>
    <row r="2915" s="2" customFormat="1" spans="1:10">
      <c r="A2915" s="6">
        <f>2913</f>
        <v>2913</v>
      </c>
      <c r="B2915" s="6" t="s">
        <v>7746</v>
      </c>
      <c r="C2915" s="6" t="s">
        <v>12</v>
      </c>
      <c r="D2915" s="6" t="s">
        <v>6677</v>
      </c>
      <c r="E2915" s="6" t="s">
        <v>7527</v>
      </c>
      <c r="F2915" s="6" t="s">
        <v>7747</v>
      </c>
      <c r="G2915" s="6" t="s">
        <v>16</v>
      </c>
      <c r="H2915" s="5">
        <v>1</v>
      </c>
      <c r="I2915" s="6" t="s">
        <v>7747</v>
      </c>
      <c r="J2915" s="5">
        <v>310</v>
      </c>
    </row>
    <row r="2916" s="2" customFormat="1" spans="1:10">
      <c r="A2916" s="6">
        <f>2914</f>
        <v>2914</v>
      </c>
      <c r="B2916" s="6" t="s">
        <v>7748</v>
      </c>
      <c r="C2916" s="6" t="s">
        <v>12</v>
      </c>
      <c r="D2916" s="6" t="s">
        <v>6677</v>
      </c>
      <c r="E2916" s="6" t="s">
        <v>7527</v>
      </c>
      <c r="F2916" s="6" t="s">
        <v>7749</v>
      </c>
      <c r="G2916" s="6" t="s">
        <v>16</v>
      </c>
      <c r="H2916" s="5">
        <v>1</v>
      </c>
      <c r="I2916" s="6" t="s">
        <v>7749</v>
      </c>
      <c r="J2916" s="5">
        <v>210</v>
      </c>
    </row>
    <row r="2917" s="2" customFormat="1" spans="1:10">
      <c r="A2917" s="6">
        <f>2915</f>
        <v>2915</v>
      </c>
      <c r="B2917" s="6" t="s">
        <v>7750</v>
      </c>
      <c r="C2917" s="6" t="s">
        <v>12</v>
      </c>
      <c r="D2917" s="6" t="s">
        <v>6677</v>
      </c>
      <c r="E2917" s="6" t="s">
        <v>7527</v>
      </c>
      <c r="F2917" s="6" t="s">
        <v>7751</v>
      </c>
      <c r="G2917" s="6" t="s">
        <v>16</v>
      </c>
      <c r="H2917" s="5">
        <v>1</v>
      </c>
      <c r="I2917" s="6" t="s">
        <v>7751</v>
      </c>
      <c r="J2917" s="5">
        <v>245</v>
      </c>
    </row>
    <row r="2918" s="2" customFormat="1" spans="1:10">
      <c r="A2918" s="6">
        <f>2916</f>
        <v>2916</v>
      </c>
      <c r="B2918" s="6" t="s">
        <v>7752</v>
      </c>
      <c r="C2918" s="6" t="s">
        <v>12</v>
      </c>
      <c r="D2918" s="6" t="s">
        <v>6677</v>
      </c>
      <c r="E2918" s="6" t="s">
        <v>7527</v>
      </c>
      <c r="F2918" s="6" t="s">
        <v>7753</v>
      </c>
      <c r="G2918" s="6" t="s">
        <v>16</v>
      </c>
      <c r="H2918" s="5">
        <v>2</v>
      </c>
      <c r="I2918" s="6" t="s">
        <v>7754</v>
      </c>
      <c r="J2918" s="5">
        <v>1080</v>
      </c>
    </row>
    <row r="2919" s="2" customFormat="1" spans="1:10">
      <c r="A2919" s="6">
        <f>2917</f>
        <v>2917</v>
      </c>
      <c r="B2919" s="6" t="s">
        <v>7755</v>
      </c>
      <c r="C2919" s="6" t="s">
        <v>12</v>
      </c>
      <c r="D2919" s="6" t="s">
        <v>6677</v>
      </c>
      <c r="E2919" s="6" t="s">
        <v>7527</v>
      </c>
      <c r="F2919" s="6" t="s">
        <v>7756</v>
      </c>
      <c r="G2919" s="6" t="s">
        <v>16</v>
      </c>
      <c r="H2919" s="5">
        <v>3</v>
      </c>
      <c r="I2919" s="6" t="s">
        <v>7757</v>
      </c>
      <c r="J2919" s="5">
        <v>760</v>
      </c>
    </row>
    <row r="2920" s="2" customFormat="1" spans="1:10">
      <c r="A2920" s="6">
        <f>2918</f>
        <v>2918</v>
      </c>
      <c r="B2920" s="6" t="s">
        <v>7758</v>
      </c>
      <c r="C2920" s="6" t="s">
        <v>12</v>
      </c>
      <c r="D2920" s="6" t="s">
        <v>6677</v>
      </c>
      <c r="E2920" s="6" t="s">
        <v>7527</v>
      </c>
      <c r="F2920" s="6" t="s">
        <v>7759</v>
      </c>
      <c r="G2920" s="6" t="s">
        <v>16</v>
      </c>
      <c r="H2920" s="5">
        <v>1</v>
      </c>
      <c r="I2920" s="6" t="s">
        <v>7759</v>
      </c>
      <c r="J2920" s="5">
        <v>240</v>
      </c>
    </row>
    <row r="2921" s="2" customFormat="1" spans="1:10">
      <c r="A2921" s="6">
        <f>2919</f>
        <v>2919</v>
      </c>
      <c r="B2921" s="6" t="s">
        <v>7760</v>
      </c>
      <c r="C2921" s="6" t="s">
        <v>12</v>
      </c>
      <c r="D2921" s="6" t="s">
        <v>6677</v>
      </c>
      <c r="E2921" s="6" t="s">
        <v>7527</v>
      </c>
      <c r="F2921" s="6" t="s">
        <v>7761</v>
      </c>
      <c r="G2921" s="6" t="s">
        <v>16</v>
      </c>
      <c r="H2921" s="5">
        <v>1</v>
      </c>
      <c r="I2921" s="6" t="s">
        <v>7761</v>
      </c>
      <c r="J2921" s="5">
        <v>280</v>
      </c>
    </row>
    <row r="2922" s="2" customFormat="1" spans="1:10">
      <c r="A2922" s="6">
        <f>2920</f>
        <v>2920</v>
      </c>
      <c r="B2922" s="6" t="s">
        <v>7762</v>
      </c>
      <c r="C2922" s="6" t="s">
        <v>12</v>
      </c>
      <c r="D2922" s="6" t="s">
        <v>6677</v>
      </c>
      <c r="E2922" s="6" t="s">
        <v>7527</v>
      </c>
      <c r="F2922" s="6" t="s">
        <v>7763</v>
      </c>
      <c r="G2922" s="6" t="s">
        <v>16</v>
      </c>
      <c r="H2922" s="5">
        <v>1</v>
      </c>
      <c r="I2922" s="6" t="s">
        <v>7763</v>
      </c>
      <c r="J2922" s="5">
        <v>360</v>
      </c>
    </row>
    <row r="2923" s="2" customFormat="1" spans="1:10">
      <c r="A2923" s="6">
        <f>2921</f>
        <v>2921</v>
      </c>
      <c r="B2923" s="6" t="s">
        <v>7764</v>
      </c>
      <c r="C2923" s="6" t="s">
        <v>12</v>
      </c>
      <c r="D2923" s="6" t="s">
        <v>6677</v>
      </c>
      <c r="E2923" s="6" t="s">
        <v>7527</v>
      </c>
      <c r="F2923" s="6" t="s">
        <v>7765</v>
      </c>
      <c r="G2923" s="6" t="s">
        <v>16</v>
      </c>
      <c r="H2923" s="5">
        <v>3</v>
      </c>
      <c r="I2923" s="6" t="s">
        <v>7766</v>
      </c>
      <c r="J2923" s="5">
        <v>680</v>
      </c>
    </row>
    <row r="2924" s="2" customFormat="1" ht="27" spans="1:10">
      <c r="A2924" s="6">
        <f>2922</f>
        <v>2922</v>
      </c>
      <c r="B2924" s="6" t="s">
        <v>7767</v>
      </c>
      <c r="C2924" s="6" t="s">
        <v>12</v>
      </c>
      <c r="D2924" s="6" t="s">
        <v>6677</v>
      </c>
      <c r="E2924" s="6" t="s">
        <v>7527</v>
      </c>
      <c r="F2924" s="6" t="s">
        <v>7768</v>
      </c>
      <c r="G2924" s="6" t="s">
        <v>16</v>
      </c>
      <c r="H2924" s="5">
        <v>4</v>
      </c>
      <c r="I2924" s="6" t="s">
        <v>7769</v>
      </c>
      <c r="J2924" s="5">
        <v>740</v>
      </c>
    </row>
    <row r="2925" s="2" customFormat="1" spans="1:10">
      <c r="A2925" s="6">
        <f>2923</f>
        <v>2923</v>
      </c>
      <c r="B2925" s="6" t="s">
        <v>7770</v>
      </c>
      <c r="C2925" s="6" t="s">
        <v>12</v>
      </c>
      <c r="D2925" s="6" t="s">
        <v>6677</v>
      </c>
      <c r="E2925" s="6" t="s">
        <v>7527</v>
      </c>
      <c r="F2925" s="6" t="s">
        <v>7771</v>
      </c>
      <c r="G2925" s="6" t="s">
        <v>16</v>
      </c>
      <c r="H2925" s="5">
        <v>1</v>
      </c>
      <c r="I2925" s="6" t="s">
        <v>7771</v>
      </c>
      <c r="J2925" s="5">
        <v>490</v>
      </c>
    </row>
    <row r="2926" s="2" customFormat="1" spans="1:10">
      <c r="A2926" s="6">
        <f>2924</f>
        <v>2924</v>
      </c>
      <c r="B2926" s="6" t="s">
        <v>7772</v>
      </c>
      <c r="C2926" s="6" t="s">
        <v>12</v>
      </c>
      <c r="D2926" s="6" t="s">
        <v>6677</v>
      </c>
      <c r="E2926" s="6" t="s">
        <v>7527</v>
      </c>
      <c r="F2926" s="6" t="s">
        <v>7773</v>
      </c>
      <c r="G2926" s="6" t="s">
        <v>16</v>
      </c>
      <c r="H2926" s="5">
        <v>3</v>
      </c>
      <c r="I2926" s="6" t="s">
        <v>7774</v>
      </c>
      <c r="J2926" s="5">
        <v>1120</v>
      </c>
    </row>
    <row r="2927" s="2" customFormat="1" spans="1:10">
      <c r="A2927" s="6">
        <f>2925</f>
        <v>2925</v>
      </c>
      <c r="B2927" s="6" t="s">
        <v>7775</v>
      </c>
      <c r="C2927" s="6" t="s">
        <v>12</v>
      </c>
      <c r="D2927" s="6" t="s">
        <v>6677</v>
      </c>
      <c r="E2927" s="6" t="s">
        <v>7527</v>
      </c>
      <c r="F2927" s="6" t="s">
        <v>7776</v>
      </c>
      <c r="G2927" s="6" t="s">
        <v>16</v>
      </c>
      <c r="H2927" s="5">
        <v>1</v>
      </c>
      <c r="I2927" s="6" t="s">
        <v>7776</v>
      </c>
      <c r="J2927" s="5">
        <v>235</v>
      </c>
    </row>
    <row r="2928" s="2" customFormat="1" spans="1:10">
      <c r="A2928" s="6">
        <f>2926</f>
        <v>2926</v>
      </c>
      <c r="B2928" s="6" t="s">
        <v>7777</v>
      </c>
      <c r="C2928" s="6" t="s">
        <v>12</v>
      </c>
      <c r="D2928" s="6" t="s">
        <v>6677</v>
      </c>
      <c r="E2928" s="6" t="s">
        <v>7527</v>
      </c>
      <c r="F2928" s="6" t="s">
        <v>7778</v>
      </c>
      <c r="G2928" s="6" t="s">
        <v>16</v>
      </c>
      <c r="H2928" s="5">
        <v>1</v>
      </c>
      <c r="I2928" s="6" t="s">
        <v>7778</v>
      </c>
      <c r="J2928" s="5">
        <v>440</v>
      </c>
    </row>
    <row r="2929" s="2" customFormat="1" spans="1:10">
      <c r="A2929" s="6">
        <f>2927</f>
        <v>2927</v>
      </c>
      <c r="B2929" s="6" t="s">
        <v>7779</v>
      </c>
      <c r="C2929" s="6" t="s">
        <v>12</v>
      </c>
      <c r="D2929" s="6" t="s">
        <v>6677</v>
      </c>
      <c r="E2929" s="6" t="s">
        <v>7527</v>
      </c>
      <c r="F2929" s="6" t="s">
        <v>7780</v>
      </c>
      <c r="G2929" s="6" t="s">
        <v>16</v>
      </c>
      <c r="H2929" s="5">
        <v>3</v>
      </c>
      <c r="I2929" s="6" t="s">
        <v>7781</v>
      </c>
      <c r="J2929" s="5">
        <v>780</v>
      </c>
    </row>
    <row r="2930" s="2" customFormat="1" spans="1:10">
      <c r="A2930" s="6">
        <f>2928</f>
        <v>2928</v>
      </c>
      <c r="B2930" s="6" t="s">
        <v>7782</v>
      </c>
      <c r="C2930" s="6" t="s">
        <v>12</v>
      </c>
      <c r="D2930" s="6" t="s">
        <v>6677</v>
      </c>
      <c r="E2930" s="6" t="s">
        <v>7527</v>
      </c>
      <c r="F2930" s="6" t="s">
        <v>7783</v>
      </c>
      <c r="G2930" s="6" t="s">
        <v>16</v>
      </c>
      <c r="H2930" s="5">
        <v>2</v>
      </c>
      <c r="I2930" s="6" t="s">
        <v>7784</v>
      </c>
      <c r="J2930" s="5">
        <v>580</v>
      </c>
    </row>
    <row r="2931" s="2" customFormat="1" spans="1:10">
      <c r="A2931" s="6">
        <f>2929</f>
        <v>2929</v>
      </c>
      <c r="B2931" s="6" t="s">
        <v>7785</v>
      </c>
      <c r="C2931" s="6" t="s">
        <v>12</v>
      </c>
      <c r="D2931" s="6" t="s">
        <v>6677</v>
      </c>
      <c r="E2931" s="6" t="s">
        <v>7527</v>
      </c>
      <c r="F2931" s="6" t="s">
        <v>7786</v>
      </c>
      <c r="G2931" s="6" t="s">
        <v>16</v>
      </c>
      <c r="H2931" s="5">
        <v>1</v>
      </c>
      <c r="I2931" s="6" t="s">
        <v>7786</v>
      </c>
      <c r="J2931" s="5">
        <v>510</v>
      </c>
    </row>
    <row r="2932" s="2" customFormat="1" ht="27" spans="1:10">
      <c r="A2932" s="6">
        <f>2930</f>
        <v>2930</v>
      </c>
      <c r="B2932" s="6" t="s">
        <v>7787</v>
      </c>
      <c r="C2932" s="6" t="s">
        <v>12</v>
      </c>
      <c r="D2932" s="6" t="s">
        <v>6677</v>
      </c>
      <c r="E2932" s="6" t="s">
        <v>7527</v>
      </c>
      <c r="F2932" s="6" t="s">
        <v>7788</v>
      </c>
      <c r="G2932" s="6" t="s">
        <v>16</v>
      </c>
      <c r="H2932" s="5">
        <v>4</v>
      </c>
      <c r="I2932" s="6" t="s">
        <v>7789</v>
      </c>
      <c r="J2932" s="5">
        <v>740</v>
      </c>
    </row>
    <row r="2933" s="2" customFormat="1" spans="1:10">
      <c r="A2933" s="6">
        <f>2931</f>
        <v>2931</v>
      </c>
      <c r="B2933" s="6" t="s">
        <v>7790</v>
      </c>
      <c r="C2933" s="6" t="s">
        <v>12</v>
      </c>
      <c r="D2933" s="6" t="s">
        <v>6677</v>
      </c>
      <c r="E2933" s="6" t="s">
        <v>7527</v>
      </c>
      <c r="F2933" s="6" t="s">
        <v>7791</v>
      </c>
      <c r="G2933" s="6" t="s">
        <v>16</v>
      </c>
      <c r="H2933" s="5">
        <v>1</v>
      </c>
      <c r="I2933" s="6" t="s">
        <v>7791</v>
      </c>
      <c r="J2933" s="5">
        <v>570</v>
      </c>
    </row>
    <row r="2934" s="2" customFormat="1" spans="1:10">
      <c r="A2934" s="6">
        <f>2932</f>
        <v>2932</v>
      </c>
      <c r="B2934" s="6" t="s">
        <v>7792</v>
      </c>
      <c r="C2934" s="6" t="s">
        <v>12</v>
      </c>
      <c r="D2934" s="6" t="s">
        <v>6677</v>
      </c>
      <c r="E2934" s="6" t="s">
        <v>7527</v>
      </c>
      <c r="F2934" s="6" t="s">
        <v>7793</v>
      </c>
      <c r="G2934" s="6" t="s">
        <v>16</v>
      </c>
      <c r="H2934" s="5">
        <v>2</v>
      </c>
      <c r="I2934" s="6" t="s">
        <v>7794</v>
      </c>
      <c r="J2934" s="5">
        <v>695</v>
      </c>
    </row>
    <row r="2935" s="2" customFormat="1" spans="1:10">
      <c r="A2935" s="6">
        <f>2933</f>
        <v>2933</v>
      </c>
      <c r="B2935" s="6" t="s">
        <v>7795</v>
      </c>
      <c r="C2935" s="6" t="s">
        <v>12</v>
      </c>
      <c r="D2935" s="6" t="s">
        <v>6677</v>
      </c>
      <c r="E2935" s="6" t="s">
        <v>7527</v>
      </c>
      <c r="F2935" s="6" t="s">
        <v>7796</v>
      </c>
      <c r="G2935" s="6" t="s">
        <v>16</v>
      </c>
      <c r="H2935" s="5">
        <v>1</v>
      </c>
      <c r="I2935" s="6" t="s">
        <v>7796</v>
      </c>
      <c r="J2935" s="5">
        <v>280</v>
      </c>
    </row>
    <row r="2936" s="2" customFormat="1" ht="27" spans="1:10">
      <c r="A2936" s="6">
        <f>2934</f>
        <v>2934</v>
      </c>
      <c r="B2936" s="6" t="s">
        <v>7797</v>
      </c>
      <c r="C2936" s="6" t="s">
        <v>12</v>
      </c>
      <c r="D2936" s="6" t="s">
        <v>6677</v>
      </c>
      <c r="E2936" s="6" t="s">
        <v>7527</v>
      </c>
      <c r="F2936" s="6" t="s">
        <v>7798</v>
      </c>
      <c r="G2936" s="6" t="s">
        <v>16</v>
      </c>
      <c r="H2936" s="5">
        <v>4</v>
      </c>
      <c r="I2936" s="6" t="s">
        <v>7799</v>
      </c>
      <c r="J2936" s="5">
        <v>640</v>
      </c>
    </row>
    <row r="2937" s="2" customFormat="1" spans="1:10">
      <c r="A2937" s="6">
        <f>2935</f>
        <v>2935</v>
      </c>
      <c r="B2937" s="6" t="s">
        <v>7800</v>
      </c>
      <c r="C2937" s="6" t="s">
        <v>12</v>
      </c>
      <c r="D2937" s="6" t="s">
        <v>6677</v>
      </c>
      <c r="E2937" s="6" t="s">
        <v>7527</v>
      </c>
      <c r="F2937" s="6" t="s">
        <v>7801</v>
      </c>
      <c r="G2937" s="6" t="s">
        <v>16</v>
      </c>
      <c r="H2937" s="5">
        <v>1</v>
      </c>
      <c r="I2937" s="6" t="s">
        <v>7801</v>
      </c>
      <c r="J2937" s="5">
        <v>245</v>
      </c>
    </row>
    <row r="2938" s="2" customFormat="1" spans="1:10">
      <c r="A2938" s="6">
        <f>2936</f>
        <v>2936</v>
      </c>
      <c r="B2938" s="6" t="s">
        <v>7802</v>
      </c>
      <c r="C2938" s="6" t="s">
        <v>12</v>
      </c>
      <c r="D2938" s="6" t="s">
        <v>6677</v>
      </c>
      <c r="E2938" s="6" t="s">
        <v>7527</v>
      </c>
      <c r="F2938" s="6" t="s">
        <v>7803</v>
      </c>
      <c r="G2938" s="6" t="s">
        <v>16</v>
      </c>
      <c r="H2938" s="5">
        <v>3</v>
      </c>
      <c r="I2938" s="6" t="s">
        <v>7804</v>
      </c>
      <c r="J2938" s="5">
        <v>980</v>
      </c>
    </row>
    <row r="2939" s="2" customFormat="1" spans="1:10">
      <c r="A2939" s="6">
        <f>2937</f>
        <v>2937</v>
      </c>
      <c r="B2939" s="6" t="s">
        <v>7805</v>
      </c>
      <c r="C2939" s="6" t="s">
        <v>12</v>
      </c>
      <c r="D2939" s="6" t="s">
        <v>6677</v>
      </c>
      <c r="E2939" s="6" t="s">
        <v>7527</v>
      </c>
      <c r="F2939" s="6" t="s">
        <v>7806</v>
      </c>
      <c r="G2939" s="6" t="s">
        <v>16</v>
      </c>
      <c r="H2939" s="5">
        <v>1</v>
      </c>
      <c r="I2939" s="6" t="s">
        <v>7806</v>
      </c>
      <c r="J2939" s="5">
        <v>360</v>
      </c>
    </row>
    <row r="2940" s="2" customFormat="1" spans="1:10">
      <c r="A2940" s="6">
        <f>2938</f>
        <v>2938</v>
      </c>
      <c r="B2940" s="6" t="s">
        <v>7807</v>
      </c>
      <c r="C2940" s="6" t="s">
        <v>12</v>
      </c>
      <c r="D2940" s="6" t="s">
        <v>6677</v>
      </c>
      <c r="E2940" s="6" t="s">
        <v>7527</v>
      </c>
      <c r="F2940" s="6" t="s">
        <v>7808</v>
      </c>
      <c r="G2940" s="6" t="s">
        <v>16</v>
      </c>
      <c r="H2940" s="5">
        <v>1</v>
      </c>
      <c r="I2940" s="6" t="s">
        <v>7808</v>
      </c>
      <c r="J2940" s="5">
        <v>385</v>
      </c>
    </row>
    <row r="2941" s="2" customFormat="1" spans="1:10">
      <c r="A2941" s="6">
        <f>2939</f>
        <v>2939</v>
      </c>
      <c r="B2941" s="6" t="s">
        <v>7809</v>
      </c>
      <c r="C2941" s="6" t="s">
        <v>12</v>
      </c>
      <c r="D2941" s="6" t="s">
        <v>6677</v>
      </c>
      <c r="E2941" s="6" t="s">
        <v>7527</v>
      </c>
      <c r="F2941" s="6" t="s">
        <v>7810</v>
      </c>
      <c r="G2941" s="6" t="s">
        <v>16</v>
      </c>
      <c r="H2941" s="5">
        <v>2</v>
      </c>
      <c r="I2941" s="6" t="s">
        <v>7811</v>
      </c>
      <c r="J2941" s="5">
        <v>680</v>
      </c>
    </row>
    <row r="2942" s="2" customFormat="1" spans="1:10">
      <c r="A2942" s="6">
        <f>2940</f>
        <v>2940</v>
      </c>
      <c r="B2942" s="6" t="s">
        <v>7812</v>
      </c>
      <c r="C2942" s="6" t="s">
        <v>12</v>
      </c>
      <c r="D2942" s="6" t="s">
        <v>6677</v>
      </c>
      <c r="E2942" s="6" t="s">
        <v>7527</v>
      </c>
      <c r="F2942" s="6" t="s">
        <v>7813</v>
      </c>
      <c r="G2942" s="6" t="s">
        <v>16</v>
      </c>
      <c r="H2942" s="5">
        <v>1</v>
      </c>
      <c r="I2942" s="6" t="s">
        <v>7813</v>
      </c>
      <c r="J2942" s="5">
        <v>245</v>
      </c>
    </row>
    <row r="2943" s="2" customFormat="1" spans="1:10">
      <c r="A2943" s="6">
        <f>2941</f>
        <v>2941</v>
      </c>
      <c r="B2943" s="6" t="s">
        <v>7814</v>
      </c>
      <c r="C2943" s="6" t="s">
        <v>12</v>
      </c>
      <c r="D2943" s="6" t="s">
        <v>6677</v>
      </c>
      <c r="E2943" s="6" t="s">
        <v>7527</v>
      </c>
      <c r="F2943" s="6" t="s">
        <v>7815</v>
      </c>
      <c r="G2943" s="6" t="s">
        <v>16</v>
      </c>
      <c r="H2943" s="5">
        <v>2</v>
      </c>
      <c r="I2943" s="6" t="s">
        <v>7816</v>
      </c>
      <c r="J2943" s="5">
        <v>520</v>
      </c>
    </row>
    <row r="2944" s="2" customFormat="1" spans="1:10">
      <c r="A2944" s="6">
        <f>2942</f>
        <v>2942</v>
      </c>
      <c r="B2944" s="6" t="s">
        <v>7817</v>
      </c>
      <c r="C2944" s="6" t="s">
        <v>12</v>
      </c>
      <c r="D2944" s="6" t="s">
        <v>6677</v>
      </c>
      <c r="E2944" s="6" t="s">
        <v>7527</v>
      </c>
      <c r="F2944" s="6" t="s">
        <v>7818</v>
      </c>
      <c r="G2944" s="6" t="s">
        <v>16</v>
      </c>
      <c r="H2944" s="5">
        <v>1</v>
      </c>
      <c r="I2944" s="6" t="s">
        <v>7818</v>
      </c>
      <c r="J2944" s="5">
        <v>245</v>
      </c>
    </row>
    <row r="2945" s="2" customFormat="1" spans="1:10">
      <c r="A2945" s="6">
        <f>2943</f>
        <v>2943</v>
      </c>
      <c r="B2945" s="6" t="s">
        <v>7819</v>
      </c>
      <c r="C2945" s="6" t="s">
        <v>12</v>
      </c>
      <c r="D2945" s="6" t="s">
        <v>6677</v>
      </c>
      <c r="E2945" s="6" t="s">
        <v>7527</v>
      </c>
      <c r="F2945" s="6" t="s">
        <v>7820</v>
      </c>
      <c r="G2945" s="6" t="s">
        <v>16</v>
      </c>
      <c r="H2945" s="5">
        <v>1</v>
      </c>
      <c r="I2945" s="6" t="s">
        <v>7820</v>
      </c>
      <c r="J2945" s="5">
        <v>245</v>
      </c>
    </row>
    <row r="2946" s="2" customFormat="1" spans="1:10">
      <c r="A2946" s="6">
        <f>2944</f>
        <v>2944</v>
      </c>
      <c r="B2946" s="6" t="s">
        <v>7821</v>
      </c>
      <c r="C2946" s="6" t="s">
        <v>12</v>
      </c>
      <c r="D2946" s="6" t="s">
        <v>6677</v>
      </c>
      <c r="E2946" s="6" t="s">
        <v>7527</v>
      </c>
      <c r="F2946" s="6" t="s">
        <v>7822</v>
      </c>
      <c r="G2946" s="6" t="s">
        <v>16</v>
      </c>
      <c r="H2946" s="5">
        <v>1</v>
      </c>
      <c r="I2946" s="6" t="s">
        <v>7822</v>
      </c>
      <c r="J2946" s="5">
        <v>260</v>
      </c>
    </row>
    <row r="2947" s="2" customFormat="1" spans="1:10">
      <c r="A2947" s="6">
        <f>2945</f>
        <v>2945</v>
      </c>
      <c r="B2947" s="6" t="s">
        <v>7823</v>
      </c>
      <c r="C2947" s="6" t="s">
        <v>12</v>
      </c>
      <c r="D2947" s="6" t="s">
        <v>6677</v>
      </c>
      <c r="E2947" s="6" t="s">
        <v>7527</v>
      </c>
      <c r="F2947" s="6" t="s">
        <v>7824</v>
      </c>
      <c r="G2947" s="6" t="s">
        <v>16</v>
      </c>
      <c r="H2947" s="5">
        <v>1</v>
      </c>
      <c r="I2947" s="6" t="s">
        <v>7824</v>
      </c>
      <c r="J2947" s="5">
        <v>270</v>
      </c>
    </row>
    <row r="2948" s="2" customFormat="1" spans="1:10">
      <c r="A2948" s="6">
        <f>2946</f>
        <v>2946</v>
      </c>
      <c r="B2948" s="6" t="s">
        <v>7825</v>
      </c>
      <c r="C2948" s="6" t="s">
        <v>12</v>
      </c>
      <c r="D2948" s="6" t="s">
        <v>6677</v>
      </c>
      <c r="E2948" s="6" t="s">
        <v>7527</v>
      </c>
      <c r="F2948" s="6" t="s">
        <v>7826</v>
      </c>
      <c r="G2948" s="6" t="s">
        <v>16</v>
      </c>
      <c r="H2948" s="5">
        <v>1</v>
      </c>
      <c r="I2948" s="6" t="s">
        <v>7826</v>
      </c>
      <c r="J2948" s="5">
        <v>310</v>
      </c>
    </row>
    <row r="2949" s="2" customFormat="1" ht="27" spans="1:10">
      <c r="A2949" s="6">
        <f>2947</f>
        <v>2947</v>
      </c>
      <c r="B2949" s="6" t="s">
        <v>7827</v>
      </c>
      <c r="C2949" s="6" t="s">
        <v>12</v>
      </c>
      <c r="D2949" s="6" t="s">
        <v>6677</v>
      </c>
      <c r="E2949" s="6" t="s">
        <v>7527</v>
      </c>
      <c r="F2949" s="6" t="s">
        <v>7828</v>
      </c>
      <c r="G2949" s="6" t="s">
        <v>16</v>
      </c>
      <c r="H2949" s="5">
        <v>5</v>
      </c>
      <c r="I2949" s="6" t="s">
        <v>7829</v>
      </c>
      <c r="J2949" s="5">
        <v>810</v>
      </c>
    </row>
    <row r="2950" s="2" customFormat="1" spans="1:10">
      <c r="A2950" s="6">
        <f>2948</f>
        <v>2948</v>
      </c>
      <c r="B2950" s="6" t="s">
        <v>7830</v>
      </c>
      <c r="C2950" s="6" t="s">
        <v>12</v>
      </c>
      <c r="D2950" s="6" t="s">
        <v>6677</v>
      </c>
      <c r="E2950" s="6" t="s">
        <v>7527</v>
      </c>
      <c r="F2950" s="6" t="s">
        <v>7831</v>
      </c>
      <c r="G2950" s="6" t="s">
        <v>16</v>
      </c>
      <c r="H2950" s="5">
        <v>1</v>
      </c>
      <c r="I2950" s="6" t="s">
        <v>7831</v>
      </c>
      <c r="J2950" s="5">
        <v>510</v>
      </c>
    </row>
    <row r="2951" s="2" customFormat="1" spans="1:10">
      <c r="A2951" s="6">
        <f>2949</f>
        <v>2949</v>
      </c>
      <c r="B2951" s="6" t="s">
        <v>7832</v>
      </c>
      <c r="C2951" s="6" t="s">
        <v>12</v>
      </c>
      <c r="D2951" s="6" t="s">
        <v>6677</v>
      </c>
      <c r="E2951" s="6" t="s">
        <v>7527</v>
      </c>
      <c r="F2951" s="6" t="s">
        <v>7833</v>
      </c>
      <c r="G2951" s="6" t="s">
        <v>16</v>
      </c>
      <c r="H2951" s="5">
        <v>1</v>
      </c>
      <c r="I2951" s="6" t="s">
        <v>7833</v>
      </c>
      <c r="J2951" s="5">
        <v>270</v>
      </c>
    </row>
    <row r="2952" s="2" customFormat="1" spans="1:10">
      <c r="A2952" s="6">
        <f>2950</f>
        <v>2950</v>
      </c>
      <c r="B2952" s="6" t="s">
        <v>7834</v>
      </c>
      <c r="C2952" s="6" t="s">
        <v>12</v>
      </c>
      <c r="D2952" s="6" t="s">
        <v>6677</v>
      </c>
      <c r="E2952" s="6" t="s">
        <v>7527</v>
      </c>
      <c r="F2952" s="6" t="s">
        <v>7835</v>
      </c>
      <c r="G2952" s="6" t="s">
        <v>16</v>
      </c>
      <c r="H2952" s="5">
        <v>1</v>
      </c>
      <c r="I2952" s="6" t="s">
        <v>7835</v>
      </c>
      <c r="J2952" s="5">
        <v>385</v>
      </c>
    </row>
    <row r="2953" s="2" customFormat="1" spans="1:10">
      <c r="A2953" s="6">
        <f>2951</f>
        <v>2951</v>
      </c>
      <c r="B2953" s="6" t="s">
        <v>7836</v>
      </c>
      <c r="C2953" s="6" t="s">
        <v>12</v>
      </c>
      <c r="D2953" s="6" t="s">
        <v>6677</v>
      </c>
      <c r="E2953" s="6" t="s">
        <v>7527</v>
      </c>
      <c r="F2953" s="6" t="s">
        <v>7837</v>
      </c>
      <c r="G2953" s="6" t="s">
        <v>16</v>
      </c>
      <c r="H2953" s="5">
        <v>1</v>
      </c>
      <c r="I2953" s="6" t="s">
        <v>7837</v>
      </c>
      <c r="J2953" s="5">
        <v>280</v>
      </c>
    </row>
    <row r="2954" s="2" customFormat="1" spans="1:10">
      <c r="A2954" s="6">
        <f>2952</f>
        <v>2952</v>
      </c>
      <c r="B2954" s="6" t="s">
        <v>7838</v>
      </c>
      <c r="C2954" s="6" t="s">
        <v>12</v>
      </c>
      <c r="D2954" s="6" t="s">
        <v>6677</v>
      </c>
      <c r="E2954" s="6" t="s">
        <v>7527</v>
      </c>
      <c r="F2954" s="6" t="s">
        <v>7839</v>
      </c>
      <c r="G2954" s="6" t="s">
        <v>16</v>
      </c>
      <c r="H2954" s="5">
        <v>2</v>
      </c>
      <c r="I2954" s="6" t="s">
        <v>7840</v>
      </c>
      <c r="J2954" s="5">
        <v>470</v>
      </c>
    </row>
    <row r="2955" s="2" customFormat="1" spans="1:10">
      <c r="A2955" s="6">
        <f>2953</f>
        <v>2953</v>
      </c>
      <c r="B2955" s="6" t="s">
        <v>7841</v>
      </c>
      <c r="C2955" s="6" t="s">
        <v>12</v>
      </c>
      <c r="D2955" s="6" t="s">
        <v>6677</v>
      </c>
      <c r="E2955" s="6" t="s">
        <v>7527</v>
      </c>
      <c r="F2955" s="6" t="s">
        <v>7842</v>
      </c>
      <c r="G2955" s="6" t="s">
        <v>16</v>
      </c>
      <c r="H2955" s="5">
        <v>1</v>
      </c>
      <c r="I2955" s="6" t="s">
        <v>7842</v>
      </c>
      <c r="J2955" s="5">
        <v>310</v>
      </c>
    </row>
    <row r="2956" s="2" customFormat="1" ht="27" spans="1:10">
      <c r="A2956" s="6">
        <f>2954</f>
        <v>2954</v>
      </c>
      <c r="B2956" s="6" t="s">
        <v>7843</v>
      </c>
      <c r="C2956" s="6" t="s">
        <v>12</v>
      </c>
      <c r="D2956" s="6" t="s">
        <v>6677</v>
      </c>
      <c r="E2956" s="6" t="s">
        <v>7527</v>
      </c>
      <c r="F2956" s="6" t="s">
        <v>7844</v>
      </c>
      <c r="G2956" s="6" t="s">
        <v>16</v>
      </c>
      <c r="H2956" s="5">
        <v>4</v>
      </c>
      <c r="I2956" s="6" t="s">
        <v>7845</v>
      </c>
      <c r="J2956" s="5">
        <v>660</v>
      </c>
    </row>
    <row r="2957" s="2" customFormat="1" spans="1:10">
      <c r="A2957" s="6">
        <f>2955</f>
        <v>2955</v>
      </c>
      <c r="B2957" s="6" t="s">
        <v>7846</v>
      </c>
      <c r="C2957" s="6" t="s">
        <v>12</v>
      </c>
      <c r="D2957" s="6" t="s">
        <v>6677</v>
      </c>
      <c r="E2957" s="6" t="s">
        <v>7527</v>
      </c>
      <c r="F2957" s="6" t="s">
        <v>7847</v>
      </c>
      <c r="G2957" s="6" t="s">
        <v>16</v>
      </c>
      <c r="H2957" s="5">
        <v>3</v>
      </c>
      <c r="I2957" s="6" t="s">
        <v>7848</v>
      </c>
      <c r="J2957" s="5">
        <v>920</v>
      </c>
    </row>
    <row r="2958" s="2" customFormat="1" spans="1:10">
      <c r="A2958" s="6">
        <f>2956</f>
        <v>2956</v>
      </c>
      <c r="B2958" s="6" t="s">
        <v>7849</v>
      </c>
      <c r="C2958" s="6" t="s">
        <v>12</v>
      </c>
      <c r="D2958" s="6" t="s">
        <v>6677</v>
      </c>
      <c r="E2958" s="6" t="s">
        <v>7527</v>
      </c>
      <c r="F2958" s="6" t="s">
        <v>7850</v>
      </c>
      <c r="G2958" s="6" t="s">
        <v>16</v>
      </c>
      <c r="H2958" s="5">
        <v>2</v>
      </c>
      <c r="I2958" s="6" t="s">
        <v>7851</v>
      </c>
      <c r="J2958" s="5">
        <v>510</v>
      </c>
    </row>
    <row r="2959" s="2" customFormat="1" spans="1:10">
      <c r="A2959" s="6">
        <f>2957</f>
        <v>2957</v>
      </c>
      <c r="B2959" s="6" t="s">
        <v>7852</v>
      </c>
      <c r="C2959" s="6" t="s">
        <v>12</v>
      </c>
      <c r="D2959" s="6" t="s">
        <v>6677</v>
      </c>
      <c r="E2959" s="6" t="s">
        <v>7527</v>
      </c>
      <c r="F2959" s="6" t="s">
        <v>7853</v>
      </c>
      <c r="G2959" s="6" t="s">
        <v>16</v>
      </c>
      <c r="H2959" s="5">
        <v>2</v>
      </c>
      <c r="I2959" s="6" t="s">
        <v>7854</v>
      </c>
      <c r="J2959" s="5">
        <v>620</v>
      </c>
    </row>
    <row r="2960" s="2" customFormat="1" spans="1:10">
      <c r="A2960" s="6">
        <f>2958</f>
        <v>2958</v>
      </c>
      <c r="B2960" s="6" t="s">
        <v>7855</v>
      </c>
      <c r="C2960" s="6" t="s">
        <v>12</v>
      </c>
      <c r="D2960" s="6" t="s">
        <v>6677</v>
      </c>
      <c r="E2960" s="6" t="s">
        <v>7527</v>
      </c>
      <c r="F2960" s="6" t="s">
        <v>7856</v>
      </c>
      <c r="G2960" s="6" t="s">
        <v>16</v>
      </c>
      <c r="H2960" s="5">
        <v>2</v>
      </c>
      <c r="I2960" s="6" t="s">
        <v>7857</v>
      </c>
      <c r="J2960" s="5">
        <v>480</v>
      </c>
    </row>
    <row r="2961" s="2" customFormat="1" spans="1:10">
      <c r="A2961" s="6">
        <f>2959</f>
        <v>2959</v>
      </c>
      <c r="B2961" s="6" t="s">
        <v>7858</v>
      </c>
      <c r="C2961" s="6" t="s">
        <v>12</v>
      </c>
      <c r="D2961" s="6" t="s">
        <v>6677</v>
      </c>
      <c r="E2961" s="6" t="s">
        <v>7527</v>
      </c>
      <c r="F2961" s="6" t="s">
        <v>7859</v>
      </c>
      <c r="G2961" s="6" t="s">
        <v>16</v>
      </c>
      <c r="H2961" s="5">
        <v>1</v>
      </c>
      <c r="I2961" s="6" t="s">
        <v>7859</v>
      </c>
      <c r="J2961" s="5">
        <v>540</v>
      </c>
    </row>
    <row r="2962" s="2" customFormat="1" ht="27" spans="1:10">
      <c r="A2962" s="6">
        <f>2960</f>
        <v>2960</v>
      </c>
      <c r="B2962" s="6" t="s">
        <v>7860</v>
      </c>
      <c r="C2962" s="6" t="s">
        <v>12</v>
      </c>
      <c r="D2962" s="6" t="s">
        <v>6677</v>
      </c>
      <c r="E2962" s="6" t="s">
        <v>7527</v>
      </c>
      <c r="F2962" s="6" t="s">
        <v>7861</v>
      </c>
      <c r="G2962" s="6" t="s">
        <v>16</v>
      </c>
      <c r="H2962" s="5">
        <v>6</v>
      </c>
      <c r="I2962" s="6" t="s">
        <v>7862</v>
      </c>
      <c r="J2962" s="5">
        <v>1640</v>
      </c>
    </row>
    <row r="2963" s="2" customFormat="1" ht="27" spans="1:10">
      <c r="A2963" s="6">
        <f>2961</f>
        <v>2961</v>
      </c>
      <c r="B2963" s="6" t="s">
        <v>7863</v>
      </c>
      <c r="C2963" s="6" t="s">
        <v>12</v>
      </c>
      <c r="D2963" s="6" t="s">
        <v>6677</v>
      </c>
      <c r="E2963" s="6" t="s">
        <v>7527</v>
      </c>
      <c r="F2963" s="6" t="s">
        <v>7864</v>
      </c>
      <c r="G2963" s="6" t="s">
        <v>16</v>
      </c>
      <c r="H2963" s="5">
        <v>5</v>
      </c>
      <c r="I2963" s="6" t="s">
        <v>7865</v>
      </c>
      <c r="J2963" s="5">
        <v>450</v>
      </c>
    </row>
    <row r="2964" s="2" customFormat="1" ht="27" spans="1:10">
      <c r="A2964" s="6">
        <f>2962</f>
        <v>2962</v>
      </c>
      <c r="B2964" s="6" t="s">
        <v>7866</v>
      </c>
      <c r="C2964" s="6" t="s">
        <v>12</v>
      </c>
      <c r="D2964" s="6" t="s">
        <v>6677</v>
      </c>
      <c r="E2964" s="6" t="s">
        <v>7527</v>
      </c>
      <c r="F2964" s="6" t="s">
        <v>7867</v>
      </c>
      <c r="G2964" s="6" t="s">
        <v>16</v>
      </c>
      <c r="H2964" s="5">
        <v>5</v>
      </c>
      <c r="I2964" s="6" t="s">
        <v>7868</v>
      </c>
      <c r="J2964" s="5">
        <v>1500</v>
      </c>
    </row>
    <row r="2965" s="2" customFormat="1" spans="1:10">
      <c r="A2965" s="6">
        <f>2963</f>
        <v>2963</v>
      </c>
      <c r="B2965" s="6" t="s">
        <v>7869</v>
      </c>
      <c r="C2965" s="6" t="s">
        <v>12</v>
      </c>
      <c r="D2965" s="6" t="s">
        <v>6677</v>
      </c>
      <c r="E2965" s="6" t="s">
        <v>7527</v>
      </c>
      <c r="F2965" s="6" t="s">
        <v>7870</v>
      </c>
      <c r="G2965" s="6" t="s">
        <v>16</v>
      </c>
      <c r="H2965" s="5">
        <v>2</v>
      </c>
      <c r="I2965" s="6" t="s">
        <v>7871</v>
      </c>
      <c r="J2965" s="5">
        <v>1080</v>
      </c>
    </row>
    <row r="2966" s="2" customFormat="1" spans="1:10">
      <c r="A2966" s="6">
        <f>2964</f>
        <v>2964</v>
      </c>
      <c r="B2966" s="6" t="s">
        <v>7872</v>
      </c>
      <c r="C2966" s="6" t="s">
        <v>12</v>
      </c>
      <c r="D2966" s="6" t="s">
        <v>6677</v>
      </c>
      <c r="E2966" s="6" t="s">
        <v>7527</v>
      </c>
      <c r="F2966" s="6" t="s">
        <v>7873</v>
      </c>
      <c r="G2966" s="6" t="s">
        <v>16</v>
      </c>
      <c r="H2966" s="5">
        <v>3</v>
      </c>
      <c r="I2966" s="6" t="s">
        <v>7874</v>
      </c>
      <c r="J2966" s="5">
        <v>780</v>
      </c>
    </row>
    <row r="2967" s="2" customFormat="1" spans="1:10">
      <c r="A2967" s="6">
        <f>2965</f>
        <v>2965</v>
      </c>
      <c r="B2967" s="6" t="s">
        <v>7875</v>
      </c>
      <c r="C2967" s="6" t="s">
        <v>12</v>
      </c>
      <c r="D2967" s="6" t="s">
        <v>6677</v>
      </c>
      <c r="E2967" s="6" t="s">
        <v>7876</v>
      </c>
      <c r="F2967" s="6" t="s">
        <v>7877</v>
      </c>
      <c r="G2967" s="6" t="s">
        <v>16</v>
      </c>
      <c r="H2967" s="5">
        <v>1</v>
      </c>
      <c r="I2967" s="6" t="s">
        <v>7877</v>
      </c>
      <c r="J2967" s="5">
        <v>410</v>
      </c>
    </row>
    <row r="2968" s="2" customFormat="1" spans="1:10">
      <c r="A2968" s="6">
        <f>2966</f>
        <v>2966</v>
      </c>
      <c r="B2968" s="6" t="s">
        <v>7878</v>
      </c>
      <c r="C2968" s="6" t="s">
        <v>12</v>
      </c>
      <c r="D2968" s="6" t="s">
        <v>6677</v>
      </c>
      <c r="E2968" s="6" t="s">
        <v>7876</v>
      </c>
      <c r="F2968" s="6" t="s">
        <v>7879</v>
      </c>
      <c r="G2968" s="6" t="s">
        <v>16</v>
      </c>
      <c r="H2968" s="5">
        <v>2</v>
      </c>
      <c r="I2968" s="6" t="s">
        <v>7880</v>
      </c>
      <c r="J2968" s="5">
        <v>590</v>
      </c>
    </row>
    <row r="2969" s="2" customFormat="1" spans="1:10">
      <c r="A2969" s="6">
        <f>2967</f>
        <v>2967</v>
      </c>
      <c r="B2969" s="6" t="s">
        <v>7881</v>
      </c>
      <c r="C2969" s="6" t="s">
        <v>12</v>
      </c>
      <c r="D2969" s="6" t="s">
        <v>6677</v>
      </c>
      <c r="E2969" s="6" t="s">
        <v>7876</v>
      </c>
      <c r="F2969" s="6" t="s">
        <v>7882</v>
      </c>
      <c r="G2969" s="6" t="s">
        <v>16</v>
      </c>
      <c r="H2969" s="5">
        <v>3</v>
      </c>
      <c r="I2969" s="6" t="s">
        <v>7883</v>
      </c>
      <c r="J2969" s="5">
        <v>1120</v>
      </c>
    </row>
    <row r="2970" s="2" customFormat="1" spans="1:10">
      <c r="A2970" s="6">
        <f>2968</f>
        <v>2968</v>
      </c>
      <c r="B2970" s="6" t="s">
        <v>7884</v>
      </c>
      <c r="C2970" s="6" t="s">
        <v>12</v>
      </c>
      <c r="D2970" s="6" t="s">
        <v>6677</v>
      </c>
      <c r="E2970" s="6" t="s">
        <v>7876</v>
      </c>
      <c r="F2970" s="6" t="s">
        <v>7885</v>
      </c>
      <c r="G2970" s="6" t="s">
        <v>16</v>
      </c>
      <c r="H2970" s="5">
        <v>1</v>
      </c>
      <c r="I2970" s="6" t="s">
        <v>7885</v>
      </c>
      <c r="J2970" s="5">
        <v>240</v>
      </c>
    </row>
    <row r="2971" s="2" customFormat="1" spans="1:10">
      <c r="A2971" s="6">
        <f>2969</f>
        <v>2969</v>
      </c>
      <c r="B2971" s="6" t="s">
        <v>7886</v>
      </c>
      <c r="C2971" s="6" t="s">
        <v>12</v>
      </c>
      <c r="D2971" s="6" t="s">
        <v>6677</v>
      </c>
      <c r="E2971" s="6" t="s">
        <v>7876</v>
      </c>
      <c r="F2971" s="6" t="s">
        <v>7887</v>
      </c>
      <c r="G2971" s="6" t="s">
        <v>16</v>
      </c>
      <c r="H2971" s="5">
        <v>1</v>
      </c>
      <c r="I2971" s="6" t="s">
        <v>7887</v>
      </c>
      <c r="J2971" s="5">
        <v>120</v>
      </c>
    </row>
    <row r="2972" s="2" customFormat="1" spans="1:10">
      <c r="A2972" s="6">
        <f>2970</f>
        <v>2970</v>
      </c>
      <c r="B2972" s="6" t="s">
        <v>7888</v>
      </c>
      <c r="C2972" s="6" t="s">
        <v>12</v>
      </c>
      <c r="D2972" s="6" t="s">
        <v>6677</v>
      </c>
      <c r="E2972" s="6" t="s">
        <v>7876</v>
      </c>
      <c r="F2972" s="6" t="s">
        <v>7889</v>
      </c>
      <c r="G2972" s="6" t="s">
        <v>16</v>
      </c>
      <c r="H2972" s="5">
        <v>2</v>
      </c>
      <c r="I2972" s="6" t="s">
        <v>7890</v>
      </c>
      <c r="J2972" s="5">
        <v>900</v>
      </c>
    </row>
    <row r="2973" s="2" customFormat="1" spans="1:10">
      <c r="A2973" s="6">
        <f>2971</f>
        <v>2971</v>
      </c>
      <c r="B2973" s="6" t="s">
        <v>7891</v>
      </c>
      <c r="C2973" s="6" t="s">
        <v>12</v>
      </c>
      <c r="D2973" s="6" t="s">
        <v>6677</v>
      </c>
      <c r="E2973" s="6" t="s">
        <v>7876</v>
      </c>
      <c r="F2973" s="6" t="s">
        <v>7892</v>
      </c>
      <c r="G2973" s="6" t="s">
        <v>16</v>
      </c>
      <c r="H2973" s="5">
        <v>2</v>
      </c>
      <c r="I2973" s="6" t="s">
        <v>7893</v>
      </c>
      <c r="J2973" s="5">
        <v>780</v>
      </c>
    </row>
    <row r="2974" s="2" customFormat="1" spans="1:10">
      <c r="A2974" s="6">
        <f>2972</f>
        <v>2972</v>
      </c>
      <c r="B2974" s="6" t="s">
        <v>7894</v>
      </c>
      <c r="C2974" s="6" t="s">
        <v>12</v>
      </c>
      <c r="D2974" s="6" t="s">
        <v>6677</v>
      </c>
      <c r="E2974" s="6" t="s">
        <v>7876</v>
      </c>
      <c r="F2974" s="6" t="s">
        <v>7895</v>
      </c>
      <c r="G2974" s="6" t="s">
        <v>16</v>
      </c>
      <c r="H2974" s="5">
        <v>2</v>
      </c>
      <c r="I2974" s="6" t="s">
        <v>7896</v>
      </c>
      <c r="J2974" s="5">
        <v>920</v>
      </c>
    </row>
    <row r="2975" s="2" customFormat="1" spans="1:10">
      <c r="A2975" s="6">
        <f>2973</f>
        <v>2973</v>
      </c>
      <c r="B2975" s="6" t="s">
        <v>7897</v>
      </c>
      <c r="C2975" s="6" t="s">
        <v>12</v>
      </c>
      <c r="D2975" s="6" t="s">
        <v>6677</v>
      </c>
      <c r="E2975" s="6" t="s">
        <v>7876</v>
      </c>
      <c r="F2975" s="6" t="s">
        <v>7898</v>
      </c>
      <c r="G2975" s="6" t="s">
        <v>16</v>
      </c>
      <c r="H2975" s="5">
        <v>3</v>
      </c>
      <c r="I2975" s="6" t="s">
        <v>7899</v>
      </c>
      <c r="J2975" s="5">
        <v>300</v>
      </c>
    </row>
    <row r="2976" s="2" customFormat="1" ht="27" spans="1:10">
      <c r="A2976" s="6">
        <f>2974</f>
        <v>2974</v>
      </c>
      <c r="B2976" s="6" t="s">
        <v>7900</v>
      </c>
      <c r="C2976" s="6" t="s">
        <v>12</v>
      </c>
      <c r="D2976" s="6" t="s">
        <v>6677</v>
      </c>
      <c r="E2976" s="6" t="s">
        <v>7876</v>
      </c>
      <c r="F2976" s="6" t="s">
        <v>7901</v>
      </c>
      <c r="G2976" s="6" t="s">
        <v>16</v>
      </c>
      <c r="H2976" s="5">
        <v>5</v>
      </c>
      <c r="I2976" s="6" t="s">
        <v>7902</v>
      </c>
      <c r="J2976" s="5">
        <v>1200</v>
      </c>
    </row>
    <row r="2977" s="2" customFormat="1" spans="1:10">
      <c r="A2977" s="6">
        <f>2975</f>
        <v>2975</v>
      </c>
      <c r="B2977" s="6" t="s">
        <v>7903</v>
      </c>
      <c r="C2977" s="6" t="s">
        <v>12</v>
      </c>
      <c r="D2977" s="6" t="s">
        <v>6677</v>
      </c>
      <c r="E2977" s="6" t="s">
        <v>7876</v>
      </c>
      <c r="F2977" s="6" t="s">
        <v>7904</v>
      </c>
      <c r="G2977" s="6" t="s">
        <v>16</v>
      </c>
      <c r="H2977" s="5">
        <v>1</v>
      </c>
      <c r="I2977" s="6" t="s">
        <v>7904</v>
      </c>
      <c r="J2977" s="5">
        <v>360</v>
      </c>
    </row>
    <row r="2978" s="2" customFormat="1" spans="1:10">
      <c r="A2978" s="6">
        <f>2976</f>
        <v>2976</v>
      </c>
      <c r="B2978" s="6" t="s">
        <v>7905</v>
      </c>
      <c r="C2978" s="6" t="s">
        <v>12</v>
      </c>
      <c r="D2978" s="6" t="s">
        <v>6677</v>
      </c>
      <c r="E2978" s="6" t="s">
        <v>7876</v>
      </c>
      <c r="F2978" s="6" t="s">
        <v>7906</v>
      </c>
      <c r="G2978" s="6" t="s">
        <v>16</v>
      </c>
      <c r="H2978" s="5">
        <v>3</v>
      </c>
      <c r="I2978" s="6" t="s">
        <v>7907</v>
      </c>
      <c r="J2978" s="5">
        <v>780</v>
      </c>
    </row>
    <row r="2979" s="2" customFormat="1" spans="1:10">
      <c r="A2979" s="6">
        <f>2977</f>
        <v>2977</v>
      </c>
      <c r="B2979" s="6" t="s">
        <v>7908</v>
      </c>
      <c r="C2979" s="6" t="s">
        <v>12</v>
      </c>
      <c r="D2979" s="6" t="s">
        <v>6677</v>
      </c>
      <c r="E2979" s="6" t="s">
        <v>7876</v>
      </c>
      <c r="F2979" s="6" t="s">
        <v>7909</v>
      </c>
      <c r="G2979" s="6" t="s">
        <v>16</v>
      </c>
      <c r="H2979" s="5">
        <v>3</v>
      </c>
      <c r="I2979" s="6" t="s">
        <v>7910</v>
      </c>
      <c r="J2979" s="5">
        <v>780</v>
      </c>
    </row>
    <row r="2980" s="2" customFormat="1" spans="1:10">
      <c r="A2980" s="6">
        <f>2978</f>
        <v>2978</v>
      </c>
      <c r="B2980" s="6" t="s">
        <v>7911</v>
      </c>
      <c r="C2980" s="6" t="s">
        <v>12</v>
      </c>
      <c r="D2980" s="6" t="s">
        <v>6677</v>
      </c>
      <c r="E2980" s="6" t="s">
        <v>7876</v>
      </c>
      <c r="F2980" s="6" t="s">
        <v>7912</v>
      </c>
      <c r="G2980" s="6" t="s">
        <v>16</v>
      </c>
      <c r="H2980" s="5">
        <v>2</v>
      </c>
      <c r="I2980" s="6" t="s">
        <v>7913</v>
      </c>
      <c r="J2980" s="5">
        <v>520</v>
      </c>
    </row>
    <row r="2981" s="2" customFormat="1" spans="1:10">
      <c r="A2981" s="6">
        <f>2979</f>
        <v>2979</v>
      </c>
      <c r="B2981" s="6" t="s">
        <v>7914</v>
      </c>
      <c r="C2981" s="6" t="s">
        <v>12</v>
      </c>
      <c r="D2981" s="6" t="s">
        <v>6677</v>
      </c>
      <c r="E2981" s="6" t="s">
        <v>7876</v>
      </c>
      <c r="F2981" s="6" t="s">
        <v>7915</v>
      </c>
      <c r="G2981" s="6" t="s">
        <v>16</v>
      </c>
      <c r="H2981" s="5">
        <v>3</v>
      </c>
      <c r="I2981" s="6" t="s">
        <v>7916</v>
      </c>
      <c r="J2981" s="5">
        <v>680</v>
      </c>
    </row>
    <row r="2982" s="2" customFormat="1" spans="1:10">
      <c r="A2982" s="6">
        <f>2980</f>
        <v>2980</v>
      </c>
      <c r="B2982" s="6" t="s">
        <v>7917</v>
      </c>
      <c r="C2982" s="6" t="s">
        <v>12</v>
      </c>
      <c r="D2982" s="6" t="s">
        <v>6677</v>
      </c>
      <c r="E2982" s="6" t="s">
        <v>7876</v>
      </c>
      <c r="F2982" s="6" t="s">
        <v>7918</v>
      </c>
      <c r="G2982" s="6" t="s">
        <v>16</v>
      </c>
      <c r="H2982" s="5">
        <v>2</v>
      </c>
      <c r="I2982" s="6" t="s">
        <v>7919</v>
      </c>
      <c r="J2982" s="5">
        <v>520</v>
      </c>
    </row>
    <row r="2983" s="2" customFormat="1" ht="27" spans="1:10">
      <c r="A2983" s="6">
        <f>2981</f>
        <v>2981</v>
      </c>
      <c r="B2983" s="6" t="s">
        <v>7920</v>
      </c>
      <c r="C2983" s="6" t="s">
        <v>12</v>
      </c>
      <c r="D2983" s="6" t="s">
        <v>6677</v>
      </c>
      <c r="E2983" s="6" t="s">
        <v>7876</v>
      </c>
      <c r="F2983" s="6" t="s">
        <v>7921</v>
      </c>
      <c r="G2983" s="6" t="s">
        <v>16</v>
      </c>
      <c r="H2983" s="5">
        <v>5</v>
      </c>
      <c r="I2983" s="6" t="s">
        <v>7922</v>
      </c>
      <c r="J2983" s="5">
        <v>1500</v>
      </c>
    </row>
    <row r="2984" s="2" customFormat="1" spans="1:10">
      <c r="A2984" s="6">
        <f>2982</f>
        <v>2982</v>
      </c>
      <c r="B2984" s="6" t="s">
        <v>7923</v>
      </c>
      <c r="C2984" s="6" t="s">
        <v>12</v>
      </c>
      <c r="D2984" s="6" t="s">
        <v>6677</v>
      </c>
      <c r="E2984" s="6" t="s">
        <v>7876</v>
      </c>
      <c r="F2984" s="6" t="s">
        <v>7924</v>
      </c>
      <c r="G2984" s="6" t="s">
        <v>16</v>
      </c>
      <c r="H2984" s="5">
        <v>2</v>
      </c>
      <c r="I2984" s="6" t="s">
        <v>7925</v>
      </c>
      <c r="J2984" s="5">
        <v>570</v>
      </c>
    </row>
    <row r="2985" s="2" customFormat="1" spans="1:10">
      <c r="A2985" s="6">
        <f>2983</f>
        <v>2983</v>
      </c>
      <c r="B2985" s="6" t="s">
        <v>7926</v>
      </c>
      <c r="C2985" s="6" t="s">
        <v>12</v>
      </c>
      <c r="D2985" s="6" t="s">
        <v>6677</v>
      </c>
      <c r="E2985" s="6" t="s">
        <v>7876</v>
      </c>
      <c r="F2985" s="6" t="s">
        <v>7927</v>
      </c>
      <c r="G2985" s="6" t="s">
        <v>16</v>
      </c>
      <c r="H2985" s="5">
        <v>1</v>
      </c>
      <c r="I2985" s="6" t="s">
        <v>7927</v>
      </c>
      <c r="J2985" s="5">
        <v>375</v>
      </c>
    </row>
    <row r="2986" s="2" customFormat="1" spans="1:10">
      <c r="A2986" s="6">
        <f>2984</f>
        <v>2984</v>
      </c>
      <c r="B2986" s="6" t="s">
        <v>7928</v>
      </c>
      <c r="C2986" s="6" t="s">
        <v>12</v>
      </c>
      <c r="D2986" s="6" t="s">
        <v>6677</v>
      </c>
      <c r="E2986" s="6" t="s">
        <v>7876</v>
      </c>
      <c r="F2986" s="6" t="s">
        <v>7929</v>
      </c>
      <c r="G2986" s="6" t="s">
        <v>16</v>
      </c>
      <c r="H2986" s="5">
        <v>1</v>
      </c>
      <c r="I2986" s="6" t="s">
        <v>7929</v>
      </c>
      <c r="J2986" s="5">
        <v>295</v>
      </c>
    </row>
    <row r="2987" s="2" customFormat="1" spans="1:10">
      <c r="A2987" s="6">
        <f>2985</f>
        <v>2985</v>
      </c>
      <c r="B2987" s="6" t="s">
        <v>7930</v>
      </c>
      <c r="C2987" s="6" t="s">
        <v>12</v>
      </c>
      <c r="D2987" s="6" t="s">
        <v>6677</v>
      </c>
      <c r="E2987" s="6" t="s">
        <v>7876</v>
      </c>
      <c r="F2987" s="6" t="s">
        <v>7931</v>
      </c>
      <c r="G2987" s="6" t="s">
        <v>16</v>
      </c>
      <c r="H2987" s="5">
        <v>3</v>
      </c>
      <c r="I2987" s="6" t="s">
        <v>7932</v>
      </c>
      <c r="J2987" s="5">
        <v>640</v>
      </c>
    </row>
    <row r="2988" s="2" customFormat="1" spans="1:10">
      <c r="A2988" s="6">
        <f>2986</f>
        <v>2986</v>
      </c>
      <c r="B2988" s="6" t="s">
        <v>7933</v>
      </c>
      <c r="C2988" s="6" t="s">
        <v>12</v>
      </c>
      <c r="D2988" s="6" t="s">
        <v>6677</v>
      </c>
      <c r="E2988" s="6" t="s">
        <v>7876</v>
      </c>
      <c r="F2988" s="6" t="s">
        <v>7934</v>
      </c>
      <c r="G2988" s="6" t="s">
        <v>16</v>
      </c>
      <c r="H2988" s="5">
        <v>1</v>
      </c>
      <c r="I2988" s="6" t="s">
        <v>7934</v>
      </c>
      <c r="J2988" s="5">
        <v>235</v>
      </c>
    </row>
    <row r="2989" s="2" customFormat="1" spans="1:10">
      <c r="A2989" s="6">
        <f>2987</f>
        <v>2987</v>
      </c>
      <c r="B2989" s="6" t="s">
        <v>7935</v>
      </c>
      <c r="C2989" s="6" t="s">
        <v>12</v>
      </c>
      <c r="D2989" s="6" t="s">
        <v>6677</v>
      </c>
      <c r="E2989" s="6" t="s">
        <v>7876</v>
      </c>
      <c r="F2989" s="6" t="s">
        <v>7936</v>
      </c>
      <c r="G2989" s="6" t="s">
        <v>16</v>
      </c>
      <c r="H2989" s="5">
        <v>1</v>
      </c>
      <c r="I2989" s="6" t="s">
        <v>7936</v>
      </c>
      <c r="J2989" s="5">
        <v>345</v>
      </c>
    </row>
    <row r="2990" s="2" customFormat="1" spans="1:10">
      <c r="A2990" s="6">
        <f>2988</f>
        <v>2988</v>
      </c>
      <c r="B2990" s="6" t="s">
        <v>7937</v>
      </c>
      <c r="C2990" s="6" t="s">
        <v>12</v>
      </c>
      <c r="D2990" s="6" t="s">
        <v>6677</v>
      </c>
      <c r="E2990" s="6" t="s">
        <v>7876</v>
      </c>
      <c r="F2990" s="6" t="s">
        <v>7938</v>
      </c>
      <c r="G2990" s="6" t="s">
        <v>16</v>
      </c>
      <c r="H2990" s="5">
        <v>1</v>
      </c>
      <c r="I2990" s="6" t="s">
        <v>7938</v>
      </c>
      <c r="J2990" s="5">
        <v>245</v>
      </c>
    </row>
    <row r="2991" s="2" customFormat="1" ht="27" spans="1:10">
      <c r="A2991" s="6">
        <f>2989</f>
        <v>2989</v>
      </c>
      <c r="B2991" s="6" t="s">
        <v>7939</v>
      </c>
      <c r="C2991" s="6" t="s">
        <v>12</v>
      </c>
      <c r="D2991" s="6" t="s">
        <v>6677</v>
      </c>
      <c r="E2991" s="6" t="s">
        <v>7876</v>
      </c>
      <c r="F2991" s="6" t="s">
        <v>7940</v>
      </c>
      <c r="G2991" s="6" t="s">
        <v>16</v>
      </c>
      <c r="H2991" s="5">
        <v>4</v>
      </c>
      <c r="I2991" s="6" t="s">
        <v>7941</v>
      </c>
      <c r="J2991" s="5">
        <v>903</v>
      </c>
    </row>
    <row r="2992" s="2" customFormat="1" spans="1:10">
      <c r="A2992" s="6">
        <f>2990</f>
        <v>2990</v>
      </c>
      <c r="B2992" s="6" t="s">
        <v>7942</v>
      </c>
      <c r="C2992" s="6" t="s">
        <v>12</v>
      </c>
      <c r="D2992" s="6" t="s">
        <v>6677</v>
      </c>
      <c r="E2992" s="6" t="s">
        <v>7876</v>
      </c>
      <c r="F2992" s="6" t="s">
        <v>7943</v>
      </c>
      <c r="G2992" s="6" t="s">
        <v>16</v>
      </c>
      <c r="H2992" s="5">
        <v>3</v>
      </c>
      <c r="I2992" s="6" t="s">
        <v>7944</v>
      </c>
      <c r="J2992" s="5">
        <v>480</v>
      </c>
    </row>
    <row r="2993" s="2" customFormat="1" spans="1:10">
      <c r="A2993" s="6">
        <f>2991</f>
        <v>2991</v>
      </c>
      <c r="B2993" s="6" t="s">
        <v>7945</v>
      </c>
      <c r="C2993" s="6" t="s">
        <v>12</v>
      </c>
      <c r="D2993" s="6" t="s">
        <v>6677</v>
      </c>
      <c r="E2993" s="6" t="s">
        <v>7876</v>
      </c>
      <c r="F2993" s="6" t="s">
        <v>7946</v>
      </c>
      <c r="G2993" s="6" t="s">
        <v>16</v>
      </c>
      <c r="H2993" s="5">
        <v>2</v>
      </c>
      <c r="I2993" s="6" t="s">
        <v>7947</v>
      </c>
      <c r="J2993" s="5">
        <v>680</v>
      </c>
    </row>
    <row r="2994" s="2" customFormat="1" spans="1:10">
      <c r="A2994" s="6">
        <f>2992</f>
        <v>2992</v>
      </c>
      <c r="B2994" s="6" t="s">
        <v>7948</v>
      </c>
      <c r="C2994" s="6" t="s">
        <v>12</v>
      </c>
      <c r="D2994" s="6" t="s">
        <v>6677</v>
      </c>
      <c r="E2994" s="6" t="s">
        <v>7876</v>
      </c>
      <c r="F2994" s="6" t="s">
        <v>7949</v>
      </c>
      <c r="G2994" s="6" t="s">
        <v>16</v>
      </c>
      <c r="H2994" s="5">
        <v>1</v>
      </c>
      <c r="I2994" s="6" t="s">
        <v>7949</v>
      </c>
      <c r="J2994" s="5">
        <v>220</v>
      </c>
    </row>
    <row r="2995" s="2" customFormat="1" ht="27" spans="1:10">
      <c r="A2995" s="6">
        <f>2993</f>
        <v>2993</v>
      </c>
      <c r="B2995" s="6" t="s">
        <v>7950</v>
      </c>
      <c r="C2995" s="6" t="s">
        <v>12</v>
      </c>
      <c r="D2995" s="6" t="s">
        <v>6677</v>
      </c>
      <c r="E2995" s="6" t="s">
        <v>7876</v>
      </c>
      <c r="F2995" s="6" t="s">
        <v>7951</v>
      </c>
      <c r="G2995" s="6" t="s">
        <v>16</v>
      </c>
      <c r="H2995" s="5">
        <v>6</v>
      </c>
      <c r="I2995" s="6" t="s">
        <v>7952</v>
      </c>
      <c r="J2995" s="5">
        <v>960</v>
      </c>
    </row>
    <row r="2996" s="2" customFormat="1" spans="1:10">
      <c r="A2996" s="6">
        <f>2994</f>
        <v>2994</v>
      </c>
      <c r="B2996" s="6" t="s">
        <v>7953</v>
      </c>
      <c r="C2996" s="6" t="s">
        <v>12</v>
      </c>
      <c r="D2996" s="6" t="s">
        <v>6677</v>
      </c>
      <c r="E2996" s="6" t="s">
        <v>7876</v>
      </c>
      <c r="F2996" s="6" t="s">
        <v>7954</v>
      </c>
      <c r="G2996" s="6" t="s">
        <v>16</v>
      </c>
      <c r="H2996" s="5">
        <v>1</v>
      </c>
      <c r="I2996" s="6" t="s">
        <v>7954</v>
      </c>
      <c r="J2996" s="5">
        <v>245</v>
      </c>
    </row>
    <row r="2997" s="2" customFormat="1" spans="1:10">
      <c r="A2997" s="6">
        <f>2995</f>
        <v>2995</v>
      </c>
      <c r="B2997" s="6" t="s">
        <v>7955</v>
      </c>
      <c r="C2997" s="6" t="s">
        <v>12</v>
      </c>
      <c r="D2997" s="6" t="s">
        <v>6677</v>
      </c>
      <c r="E2997" s="6" t="s">
        <v>7876</v>
      </c>
      <c r="F2997" s="6" t="s">
        <v>7956</v>
      </c>
      <c r="G2997" s="6" t="s">
        <v>16</v>
      </c>
      <c r="H2997" s="5">
        <v>1</v>
      </c>
      <c r="I2997" s="6" t="s">
        <v>7956</v>
      </c>
      <c r="J2997" s="5">
        <v>210</v>
      </c>
    </row>
    <row r="2998" s="2" customFormat="1" spans="1:10">
      <c r="A2998" s="6">
        <f>2996</f>
        <v>2996</v>
      </c>
      <c r="B2998" s="6" t="s">
        <v>7957</v>
      </c>
      <c r="C2998" s="6" t="s">
        <v>12</v>
      </c>
      <c r="D2998" s="6" t="s">
        <v>6677</v>
      </c>
      <c r="E2998" s="6" t="s">
        <v>7876</v>
      </c>
      <c r="F2998" s="6" t="s">
        <v>7958</v>
      </c>
      <c r="G2998" s="6" t="s">
        <v>16</v>
      </c>
      <c r="H2998" s="5">
        <v>1</v>
      </c>
      <c r="I2998" s="6" t="s">
        <v>7958</v>
      </c>
      <c r="J2998" s="5">
        <v>375</v>
      </c>
    </row>
    <row r="2999" s="2" customFormat="1" spans="1:10">
      <c r="A2999" s="6">
        <f>2997</f>
        <v>2997</v>
      </c>
      <c r="B2999" s="6" t="s">
        <v>7959</v>
      </c>
      <c r="C2999" s="6" t="s">
        <v>12</v>
      </c>
      <c r="D2999" s="6" t="s">
        <v>6677</v>
      </c>
      <c r="E2999" s="6" t="s">
        <v>7876</v>
      </c>
      <c r="F2999" s="6" t="s">
        <v>7960</v>
      </c>
      <c r="G2999" s="6" t="s">
        <v>16</v>
      </c>
      <c r="H2999" s="5">
        <v>1</v>
      </c>
      <c r="I2999" s="6" t="s">
        <v>7960</v>
      </c>
      <c r="J2999" s="5">
        <v>260</v>
      </c>
    </row>
    <row r="3000" s="2" customFormat="1" spans="1:10">
      <c r="A3000" s="6">
        <f>2998</f>
        <v>2998</v>
      </c>
      <c r="B3000" s="6" t="s">
        <v>7961</v>
      </c>
      <c r="C3000" s="6" t="s">
        <v>12</v>
      </c>
      <c r="D3000" s="6" t="s">
        <v>6677</v>
      </c>
      <c r="E3000" s="6" t="s">
        <v>7876</v>
      </c>
      <c r="F3000" s="6" t="s">
        <v>7962</v>
      </c>
      <c r="G3000" s="6" t="s">
        <v>16</v>
      </c>
      <c r="H3000" s="5">
        <v>1</v>
      </c>
      <c r="I3000" s="6" t="s">
        <v>7962</v>
      </c>
      <c r="J3000" s="5">
        <v>260</v>
      </c>
    </row>
    <row r="3001" s="2" customFormat="1" spans="1:10">
      <c r="A3001" s="6">
        <f>2999</f>
        <v>2999</v>
      </c>
      <c r="B3001" s="6" t="s">
        <v>7963</v>
      </c>
      <c r="C3001" s="6" t="s">
        <v>12</v>
      </c>
      <c r="D3001" s="6" t="s">
        <v>6677</v>
      </c>
      <c r="E3001" s="6" t="s">
        <v>7876</v>
      </c>
      <c r="F3001" s="6" t="s">
        <v>7964</v>
      </c>
      <c r="G3001" s="6" t="s">
        <v>16</v>
      </c>
      <c r="H3001" s="5">
        <v>1</v>
      </c>
      <c r="I3001" s="6" t="s">
        <v>7964</v>
      </c>
      <c r="J3001" s="5">
        <v>245</v>
      </c>
    </row>
    <row r="3002" s="2" customFormat="1" spans="1:10">
      <c r="A3002" s="6">
        <f>3000</f>
        <v>3000</v>
      </c>
      <c r="B3002" s="6" t="s">
        <v>7965</v>
      </c>
      <c r="C3002" s="6" t="s">
        <v>12</v>
      </c>
      <c r="D3002" s="6" t="s">
        <v>6677</v>
      </c>
      <c r="E3002" s="6" t="s">
        <v>7876</v>
      </c>
      <c r="F3002" s="6" t="s">
        <v>7966</v>
      </c>
      <c r="G3002" s="6" t="s">
        <v>16</v>
      </c>
      <c r="H3002" s="5">
        <v>2</v>
      </c>
      <c r="I3002" s="6" t="s">
        <v>7967</v>
      </c>
      <c r="J3002" s="5">
        <v>520</v>
      </c>
    </row>
    <row r="3003" s="2" customFormat="1" ht="27" spans="1:10">
      <c r="A3003" s="6">
        <f>3001</f>
        <v>3001</v>
      </c>
      <c r="B3003" s="6" t="s">
        <v>7968</v>
      </c>
      <c r="C3003" s="6" t="s">
        <v>12</v>
      </c>
      <c r="D3003" s="6" t="s">
        <v>6677</v>
      </c>
      <c r="E3003" s="6" t="s">
        <v>7876</v>
      </c>
      <c r="F3003" s="6" t="s">
        <v>7969</v>
      </c>
      <c r="G3003" s="6" t="s">
        <v>16</v>
      </c>
      <c r="H3003" s="5">
        <v>4</v>
      </c>
      <c r="I3003" s="6" t="s">
        <v>7970</v>
      </c>
      <c r="J3003" s="5">
        <v>740</v>
      </c>
    </row>
    <row r="3004" s="2" customFormat="1" spans="1:10">
      <c r="A3004" s="6">
        <f>3002</f>
        <v>3002</v>
      </c>
      <c r="B3004" s="6" t="s">
        <v>7971</v>
      </c>
      <c r="C3004" s="6" t="s">
        <v>12</v>
      </c>
      <c r="D3004" s="6" t="s">
        <v>6677</v>
      </c>
      <c r="E3004" s="6" t="s">
        <v>7876</v>
      </c>
      <c r="F3004" s="6" t="s">
        <v>7972</v>
      </c>
      <c r="G3004" s="6" t="s">
        <v>16</v>
      </c>
      <c r="H3004" s="5">
        <v>1</v>
      </c>
      <c r="I3004" s="6" t="s">
        <v>7972</v>
      </c>
      <c r="J3004" s="5">
        <v>373</v>
      </c>
    </row>
    <row r="3005" s="2" customFormat="1" spans="1:10">
      <c r="A3005" s="6">
        <f>3003</f>
        <v>3003</v>
      </c>
      <c r="B3005" s="6" t="s">
        <v>7973</v>
      </c>
      <c r="C3005" s="6" t="s">
        <v>12</v>
      </c>
      <c r="D3005" s="6" t="s">
        <v>6677</v>
      </c>
      <c r="E3005" s="6" t="s">
        <v>7876</v>
      </c>
      <c r="F3005" s="6" t="s">
        <v>7974</v>
      </c>
      <c r="G3005" s="6" t="s">
        <v>16</v>
      </c>
      <c r="H3005" s="5">
        <v>2</v>
      </c>
      <c r="I3005" s="6" t="s">
        <v>7975</v>
      </c>
      <c r="J3005" s="5">
        <v>640</v>
      </c>
    </row>
    <row r="3006" s="2" customFormat="1" spans="1:10">
      <c r="A3006" s="6">
        <f>3004</f>
        <v>3004</v>
      </c>
      <c r="B3006" s="6" t="s">
        <v>7976</v>
      </c>
      <c r="C3006" s="6" t="s">
        <v>12</v>
      </c>
      <c r="D3006" s="6" t="s">
        <v>6677</v>
      </c>
      <c r="E3006" s="6" t="s">
        <v>7876</v>
      </c>
      <c r="F3006" s="6" t="s">
        <v>7977</v>
      </c>
      <c r="G3006" s="6" t="s">
        <v>16</v>
      </c>
      <c r="H3006" s="5">
        <v>1</v>
      </c>
      <c r="I3006" s="6" t="s">
        <v>7977</v>
      </c>
      <c r="J3006" s="5">
        <v>210</v>
      </c>
    </row>
    <row r="3007" s="2" customFormat="1" spans="1:10">
      <c r="A3007" s="6">
        <f>3005</f>
        <v>3005</v>
      </c>
      <c r="B3007" s="6" t="s">
        <v>7978</v>
      </c>
      <c r="C3007" s="6" t="s">
        <v>12</v>
      </c>
      <c r="D3007" s="6" t="s">
        <v>6677</v>
      </c>
      <c r="E3007" s="6" t="s">
        <v>7876</v>
      </c>
      <c r="F3007" s="6" t="s">
        <v>7979</v>
      </c>
      <c r="G3007" s="6" t="s">
        <v>16</v>
      </c>
      <c r="H3007" s="5">
        <v>1</v>
      </c>
      <c r="I3007" s="6" t="s">
        <v>7979</v>
      </c>
      <c r="J3007" s="5">
        <v>390</v>
      </c>
    </row>
    <row r="3008" s="2" customFormat="1" spans="1:10">
      <c r="A3008" s="6">
        <f>3006</f>
        <v>3006</v>
      </c>
      <c r="B3008" s="6" t="s">
        <v>7980</v>
      </c>
      <c r="C3008" s="6" t="s">
        <v>12</v>
      </c>
      <c r="D3008" s="6" t="s">
        <v>6677</v>
      </c>
      <c r="E3008" s="6" t="s">
        <v>7876</v>
      </c>
      <c r="F3008" s="6" t="s">
        <v>7981</v>
      </c>
      <c r="G3008" s="6" t="s">
        <v>16</v>
      </c>
      <c r="H3008" s="5">
        <v>3</v>
      </c>
      <c r="I3008" s="6" t="s">
        <v>7982</v>
      </c>
      <c r="J3008" s="5">
        <v>430</v>
      </c>
    </row>
    <row r="3009" s="2" customFormat="1" spans="1:10">
      <c r="A3009" s="6">
        <f>3007</f>
        <v>3007</v>
      </c>
      <c r="B3009" s="6" t="s">
        <v>7983</v>
      </c>
      <c r="C3009" s="6" t="s">
        <v>12</v>
      </c>
      <c r="D3009" s="6" t="s">
        <v>6677</v>
      </c>
      <c r="E3009" s="6" t="s">
        <v>7876</v>
      </c>
      <c r="F3009" s="6" t="s">
        <v>7984</v>
      </c>
      <c r="G3009" s="6" t="s">
        <v>16</v>
      </c>
      <c r="H3009" s="5">
        <v>2</v>
      </c>
      <c r="I3009" s="6" t="s">
        <v>7985</v>
      </c>
      <c r="J3009" s="5">
        <v>295</v>
      </c>
    </row>
    <row r="3010" s="2" customFormat="1" spans="1:10">
      <c r="A3010" s="6">
        <f>3008</f>
        <v>3008</v>
      </c>
      <c r="B3010" s="6" t="s">
        <v>7986</v>
      </c>
      <c r="C3010" s="6" t="s">
        <v>12</v>
      </c>
      <c r="D3010" s="6" t="s">
        <v>6677</v>
      </c>
      <c r="E3010" s="6" t="s">
        <v>7876</v>
      </c>
      <c r="F3010" s="6" t="s">
        <v>7987</v>
      </c>
      <c r="G3010" s="6" t="s">
        <v>16</v>
      </c>
      <c r="H3010" s="5">
        <v>2</v>
      </c>
      <c r="I3010" s="6" t="s">
        <v>7988</v>
      </c>
      <c r="J3010" s="5">
        <v>420</v>
      </c>
    </row>
    <row r="3011" s="2" customFormat="1" spans="1:10">
      <c r="A3011" s="6">
        <f>3009</f>
        <v>3009</v>
      </c>
      <c r="B3011" s="6" t="s">
        <v>7989</v>
      </c>
      <c r="C3011" s="6" t="s">
        <v>12</v>
      </c>
      <c r="D3011" s="6" t="s">
        <v>6677</v>
      </c>
      <c r="E3011" s="6" t="s">
        <v>7876</v>
      </c>
      <c r="F3011" s="6" t="s">
        <v>7990</v>
      </c>
      <c r="G3011" s="6" t="s">
        <v>16</v>
      </c>
      <c r="H3011" s="5">
        <v>2</v>
      </c>
      <c r="I3011" s="6" t="s">
        <v>7991</v>
      </c>
      <c r="J3011" s="5">
        <v>420</v>
      </c>
    </row>
    <row r="3012" s="2" customFormat="1" spans="1:10">
      <c r="A3012" s="6">
        <f>3010</f>
        <v>3010</v>
      </c>
      <c r="B3012" s="6" t="s">
        <v>7992</v>
      </c>
      <c r="C3012" s="6" t="s">
        <v>12</v>
      </c>
      <c r="D3012" s="6" t="s">
        <v>6677</v>
      </c>
      <c r="E3012" s="6" t="s">
        <v>7876</v>
      </c>
      <c r="F3012" s="6" t="s">
        <v>7993</v>
      </c>
      <c r="G3012" s="6" t="s">
        <v>16</v>
      </c>
      <c r="H3012" s="5">
        <v>2</v>
      </c>
      <c r="I3012" s="6" t="s">
        <v>7994</v>
      </c>
      <c r="J3012" s="5">
        <v>400</v>
      </c>
    </row>
    <row r="3013" s="2" customFormat="1" spans="1:10">
      <c r="A3013" s="6">
        <f>3011</f>
        <v>3011</v>
      </c>
      <c r="B3013" s="6" t="s">
        <v>7995</v>
      </c>
      <c r="C3013" s="6" t="s">
        <v>12</v>
      </c>
      <c r="D3013" s="6" t="s">
        <v>6677</v>
      </c>
      <c r="E3013" s="6" t="s">
        <v>7876</v>
      </c>
      <c r="F3013" s="6" t="s">
        <v>7996</v>
      </c>
      <c r="G3013" s="6" t="s">
        <v>16</v>
      </c>
      <c r="H3013" s="5">
        <v>3</v>
      </c>
      <c r="I3013" s="6" t="s">
        <v>7997</v>
      </c>
      <c r="J3013" s="5">
        <v>480</v>
      </c>
    </row>
    <row r="3014" s="2" customFormat="1" ht="27" spans="1:10">
      <c r="A3014" s="6">
        <f>3012</f>
        <v>3012</v>
      </c>
      <c r="B3014" s="6" t="s">
        <v>7998</v>
      </c>
      <c r="C3014" s="6" t="s">
        <v>12</v>
      </c>
      <c r="D3014" s="6" t="s">
        <v>6677</v>
      </c>
      <c r="E3014" s="6" t="s">
        <v>7876</v>
      </c>
      <c r="F3014" s="6" t="s">
        <v>7999</v>
      </c>
      <c r="G3014" s="6" t="s">
        <v>16</v>
      </c>
      <c r="H3014" s="5">
        <v>4</v>
      </c>
      <c r="I3014" s="6" t="s">
        <v>8000</v>
      </c>
      <c r="J3014" s="5">
        <v>425</v>
      </c>
    </row>
    <row r="3015" s="2" customFormat="1" spans="1:10">
      <c r="A3015" s="6">
        <f>3013</f>
        <v>3013</v>
      </c>
      <c r="B3015" s="6" t="s">
        <v>8001</v>
      </c>
      <c r="C3015" s="6" t="s">
        <v>12</v>
      </c>
      <c r="D3015" s="6" t="s">
        <v>6677</v>
      </c>
      <c r="E3015" s="6" t="s">
        <v>7876</v>
      </c>
      <c r="F3015" s="6" t="s">
        <v>8002</v>
      </c>
      <c r="G3015" s="6" t="s">
        <v>16</v>
      </c>
      <c r="H3015" s="5">
        <v>3</v>
      </c>
      <c r="I3015" s="6" t="s">
        <v>8003</v>
      </c>
      <c r="J3015" s="5">
        <v>505</v>
      </c>
    </row>
    <row r="3016" s="2" customFormat="1" spans="1:10">
      <c r="A3016" s="6">
        <f>3014</f>
        <v>3014</v>
      </c>
      <c r="B3016" s="6" t="s">
        <v>8004</v>
      </c>
      <c r="C3016" s="6" t="s">
        <v>12</v>
      </c>
      <c r="D3016" s="6" t="s">
        <v>6677</v>
      </c>
      <c r="E3016" s="6" t="s">
        <v>7876</v>
      </c>
      <c r="F3016" s="6" t="s">
        <v>8005</v>
      </c>
      <c r="G3016" s="6" t="s">
        <v>16</v>
      </c>
      <c r="H3016" s="5">
        <v>1</v>
      </c>
      <c r="I3016" s="6" t="s">
        <v>8005</v>
      </c>
      <c r="J3016" s="5">
        <v>243</v>
      </c>
    </row>
    <row r="3017" s="2" customFormat="1" spans="1:10">
      <c r="A3017" s="6">
        <f>3015</f>
        <v>3015</v>
      </c>
      <c r="B3017" s="6" t="s">
        <v>8006</v>
      </c>
      <c r="C3017" s="6" t="s">
        <v>12</v>
      </c>
      <c r="D3017" s="6" t="s">
        <v>6677</v>
      </c>
      <c r="E3017" s="6" t="s">
        <v>7876</v>
      </c>
      <c r="F3017" s="6" t="s">
        <v>8007</v>
      </c>
      <c r="G3017" s="6" t="s">
        <v>16</v>
      </c>
      <c r="H3017" s="5">
        <v>1</v>
      </c>
      <c r="I3017" s="6" t="s">
        <v>8007</v>
      </c>
      <c r="J3017" s="5">
        <v>210</v>
      </c>
    </row>
    <row r="3018" s="2" customFormat="1" spans="1:10">
      <c r="A3018" s="6">
        <f>3016</f>
        <v>3016</v>
      </c>
      <c r="B3018" s="6" t="s">
        <v>8008</v>
      </c>
      <c r="C3018" s="6" t="s">
        <v>12</v>
      </c>
      <c r="D3018" s="6" t="s">
        <v>6677</v>
      </c>
      <c r="E3018" s="6" t="s">
        <v>7876</v>
      </c>
      <c r="F3018" s="6" t="s">
        <v>8009</v>
      </c>
      <c r="G3018" s="6" t="s">
        <v>16</v>
      </c>
      <c r="H3018" s="5">
        <v>2</v>
      </c>
      <c r="I3018" s="6" t="s">
        <v>8010</v>
      </c>
      <c r="J3018" s="5">
        <v>350</v>
      </c>
    </row>
    <row r="3019" s="2" customFormat="1" spans="1:10">
      <c r="A3019" s="6">
        <f>3017</f>
        <v>3017</v>
      </c>
      <c r="B3019" s="6" t="s">
        <v>8011</v>
      </c>
      <c r="C3019" s="6" t="s">
        <v>12</v>
      </c>
      <c r="D3019" s="6" t="s">
        <v>6677</v>
      </c>
      <c r="E3019" s="6" t="s">
        <v>7876</v>
      </c>
      <c r="F3019" s="6" t="s">
        <v>8012</v>
      </c>
      <c r="G3019" s="6" t="s">
        <v>16</v>
      </c>
      <c r="H3019" s="5">
        <v>1</v>
      </c>
      <c r="I3019" s="6" t="s">
        <v>8012</v>
      </c>
      <c r="J3019" s="5">
        <v>295</v>
      </c>
    </row>
    <row r="3020" s="2" customFormat="1" spans="1:10">
      <c r="A3020" s="6">
        <f>3018</f>
        <v>3018</v>
      </c>
      <c r="B3020" s="6" t="s">
        <v>8013</v>
      </c>
      <c r="C3020" s="6" t="s">
        <v>12</v>
      </c>
      <c r="D3020" s="6" t="s">
        <v>6677</v>
      </c>
      <c r="E3020" s="6" t="s">
        <v>7876</v>
      </c>
      <c r="F3020" s="6" t="s">
        <v>8014</v>
      </c>
      <c r="G3020" s="6" t="s">
        <v>16</v>
      </c>
      <c r="H3020" s="5">
        <v>1</v>
      </c>
      <c r="I3020" s="6" t="s">
        <v>8014</v>
      </c>
      <c r="J3020" s="5">
        <v>342</v>
      </c>
    </row>
    <row r="3021" s="2" customFormat="1" ht="27" spans="1:10">
      <c r="A3021" s="6">
        <f>3019</f>
        <v>3019</v>
      </c>
      <c r="B3021" s="6" t="s">
        <v>8015</v>
      </c>
      <c r="C3021" s="6" t="s">
        <v>12</v>
      </c>
      <c r="D3021" s="6" t="s">
        <v>6677</v>
      </c>
      <c r="E3021" s="6" t="s">
        <v>7876</v>
      </c>
      <c r="F3021" s="6" t="s">
        <v>8016</v>
      </c>
      <c r="G3021" s="6" t="s">
        <v>16</v>
      </c>
      <c r="H3021" s="5">
        <v>4</v>
      </c>
      <c r="I3021" s="6" t="s">
        <v>8017</v>
      </c>
      <c r="J3021" s="5">
        <v>760</v>
      </c>
    </row>
    <row r="3022" s="2" customFormat="1" spans="1:10">
      <c r="A3022" s="6">
        <f>3020</f>
        <v>3020</v>
      </c>
      <c r="B3022" s="6" t="s">
        <v>8018</v>
      </c>
      <c r="C3022" s="6" t="s">
        <v>12</v>
      </c>
      <c r="D3022" s="6" t="s">
        <v>6677</v>
      </c>
      <c r="E3022" s="6" t="s">
        <v>7876</v>
      </c>
      <c r="F3022" s="6" t="s">
        <v>8019</v>
      </c>
      <c r="G3022" s="6" t="s">
        <v>16</v>
      </c>
      <c r="H3022" s="5">
        <v>2</v>
      </c>
      <c r="I3022" s="6" t="s">
        <v>8020</v>
      </c>
      <c r="J3022" s="5">
        <v>1080</v>
      </c>
    </row>
    <row r="3023" s="2" customFormat="1" spans="1:10">
      <c r="A3023" s="6">
        <f>3021</f>
        <v>3021</v>
      </c>
      <c r="B3023" s="6" t="s">
        <v>8021</v>
      </c>
      <c r="C3023" s="6" t="s">
        <v>12</v>
      </c>
      <c r="D3023" s="6" t="s">
        <v>6677</v>
      </c>
      <c r="E3023" s="6" t="s">
        <v>7876</v>
      </c>
      <c r="F3023" s="6" t="s">
        <v>8022</v>
      </c>
      <c r="G3023" s="6" t="s">
        <v>16</v>
      </c>
      <c r="H3023" s="5">
        <v>1</v>
      </c>
      <c r="I3023" s="6" t="s">
        <v>8022</v>
      </c>
      <c r="J3023" s="5">
        <v>300</v>
      </c>
    </row>
    <row r="3024" s="2" customFormat="1" spans="1:10">
      <c r="A3024" s="6">
        <f>3022</f>
        <v>3022</v>
      </c>
      <c r="B3024" s="6" t="s">
        <v>8023</v>
      </c>
      <c r="C3024" s="6" t="s">
        <v>12</v>
      </c>
      <c r="D3024" s="6" t="s">
        <v>6677</v>
      </c>
      <c r="E3024" s="6" t="s">
        <v>7876</v>
      </c>
      <c r="F3024" s="6" t="s">
        <v>8024</v>
      </c>
      <c r="G3024" s="6" t="s">
        <v>16</v>
      </c>
      <c r="H3024" s="5">
        <v>2</v>
      </c>
      <c r="I3024" s="6" t="s">
        <v>8025</v>
      </c>
      <c r="J3024" s="5">
        <v>820</v>
      </c>
    </row>
    <row r="3025" s="2" customFormat="1" spans="1:10">
      <c r="A3025" s="6">
        <f>3023</f>
        <v>3023</v>
      </c>
      <c r="B3025" s="6" t="s">
        <v>8026</v>
      </c>
      <c r="C3025" s="6" t="s">
        <v>12</v>
      </c>
      <c r="D3025" s="6" t="s">
        <v>6677</v>
      </c>
      <c r="E3025" s="6" t="s">
        <v>7876</v>
      </c>
      <c r="F3025" s="6" t="s">
        <v>8027</v>
      </c>
      <c r="G3025" s="6" t="s">
        <v>16</v>
      </c>
      <c r="H3025" s="5">
        <v>1</v>
      </c>
      <c r="I3025" s="6" t="s">
        <v>8027</v>
      </c>
      <c r="J3025" s="5">
        <v>395</v>
      </c>
    </row>
    <row r="3026" s="2" customFormat="1" spans="1:10">
      <c r="A3026" s="6">
        <f>3024</f>
        <v>3024</v>
      </c>
      <c r="B3026" s="6" t="s">
        <v>8028</v>
      </c>
      <c r="C3026" s="6" t="s">
        <v>12</v>
      </c>
      <c r="D3026" s="6" t="s">
        <v>6677</v>
      </c>
      <c r="E3026" s="6" t="s">
        <v>7876</v>
      </c>
      <c r="F3026" s="6" t="s">
        <v>8029</v>
      </c>
      <c r="G3026" s="6" t="s">
        <v>16</v>
      </c>
      <c r="H3026" s="5">
        <v>1</v>
      </c>
      <c r="I3026" s="6" t="s">
        <v>8029</v>
      </c>
      <c r="J3026" s="5">
        <v>333</v>
      </c>
    </row>
    <row r="3027" s="2" customFormat="1" ht="27" spans="1:10">
      <c r="A3027" s="6">
        <f>3025</f>
        <v>3025</v>
      </c>
      <c r="B3027" s="6" t="s">
        <v>8030</v>
      </c>
      <c r="C3027" s="6" t="s">
        <v>12</v>
      </c>
      <c r="D3027" s="6" t="s">
        <v>6677</v>
      </c>
      <c r="E3027" s="6" t="s">
        <v>7876</v>
      </c>
      <c r="F3027" s="6" t="s">
        <v>8031</v>
      </c>
      <c r="G3027" s="6" t="s">
        <v>16</v>
      </c>
      <c r="H3027" s="5">
        <v>5</v>
      </c>
      <c r="I3027" s="6" t="s">
        <v>8032</v>
      </c>
      <c r="J3027" s="5">
        <v>1100</v>
      </c>
    </row>
    <row r="3028" s="2" customFormat="1" spans="1:10">
      <c r="A3028" s="6">
        <f>3026</f>
        <v>3026</v>
      </c>
      <c r="B3028" s="6" t="s">
        <v>8033</v>
      </c>
      <c r="C3028" s="6" t="s">
        <v>12</v>
      </c>
      <c r="D3028" s="6" t="s">
        <v>6677</v>
      </c>
      <c r="E3028" s="6" t="s">
        <v>7876</v>
      </c>
      <c r="F3028" s="6" t="s">
        <v>8034</v>
      </c>
      <c r="G3028" s="6" t="s">
        <v>16</v>
      </c>
      <c r="H3028" s="5">
        <v>1</v>
      </c>
      <c r="I3028" s="6" t="s">
        <v>8034</v>
      </c>
      <c r="J3028" s="5">
        <v>383</v>
      </c>
    </row>
    <row r="3029" s="2" customFormat="1" spans="1:10">
      <c r="A3029" s="6">
        <f>3027</f>
        <v>3027</v>
      </c>
      <c r="B3029" s="6" t="s">
        <v>8035</v>
      </c>
      <c r="C3029" s="6" t="s">
        <v>12</v>
      </c>
      <c r="D3029" s="6" t="s">
        <v>6677</v>
      </c>
      <c r="E3029" s="6" t="s">
        <v>7876</v>
      </c>
      <c r="F3029" s="6" t="s">
        <v>8036</v>
      </c>
      <c r="G3029" s="6" t="s">
        <v>16</v>
      </c>
      <c r="H3029" s="5">
        <v>1</v>
      </c>
      <c r="I3029" s="6" t="s">
        <v>8036</v>
      </c>
      <c r="J3029" s="5">
        <v>290</v>
      </c>
    </row>
    <row r="3030" s="2" customFormat="1" spans="1:10">
      <c r="A3030" s="6">
        <f>3028</f>
        <v>3028</v>
      </c>
      <c r="B3030" s="6" t="s">
        <v>8037</v>
      </c>
      <c r="C3030" s="6" t="s">
        <v>12</v>
      </c>
      <c r="D3030" s="6" t="s">
        <v>6677</v>
      </c>
      <c r="E3030" s="6" t="s">
        <v>7876</v>
      </c>
      <c r="F3030" s="6" t="s">
        <v>8038</v>
      </c>
      <c r="G3030" s="6" t="s">
        <v>16</v>
      </c>
      <c r="H3030" s="5">
        <v>3</v>
      </c>
      <c r="I3030" s="6" t="s">
        <v>8039</v>
      </c>
      <c r="J3030" s="5">
        <v>780</v>
      </c>
    </row>
    <row r="3031" s="2" customFormat="1" spans="1:10">
      <c r="A3031" s="6">
        <f>3029</f>
        <v>3029</v>
      </c>
      <c r="B3031" s="6" t="s">
        <v>8040</v>
      </c>
      <c r="C3031" s="6" t="s">
        <v>12</v>
      </c>
      <c r="D3031" s="6" t="s">
        <v>6677</v>
      </c>
      <c r="E3031" s="6" t="s">
        <v>7876</v>
      </c>
      <c r="F3031" s="6" t="s">
        <v>8041</v>
      </c>
      <c r="G3031" s="6" t="s">
        <v>16</v>
      </c>
      <c r="H3031" s="5">
        <v>1</v>
      </c>
      <c r="I3031" s="6" t="s">
        <v>8041</v>
      </c>
      <c r="J3031" s="5">
        <v>260</v>
      </c>
    </row>
    <row r="3032" s="2" customFormat="1" spans="1:10">
      <c r="A3032" s="6">
        <f>3030</f>
        <v>3030</v>
      </c>
      <c r="B3032" s="6" t="s">
        <v>8042</v>
      </c>
      <c r="C3032" s="6" t="s">
        <v>12</v>
      </c>
      <c r="D3032" s="6" t="s">
        <v>6677</v>
      </c>
      <c r="E3032" s="6" t="s">
        <v>7876</v>
      </c>
      <c r="F3032" s="6" t="s">
        <v>8043</v>
      </c>
      <c r="G3032" s="6" t="s">
        <v>16</v>
      </c>
      <c r="H3032" s="5">
        <v>1</v>
      </c>
      <c r="I3032" s="6" t="s">
        <v>8043</v>
      </c>
      <c r="J3032" s="5">
        <v>255</v>
      </c>
    </row>
    <row r="3033" s="2" customFormat="1" spans="1:10">
      <c r="A3033" s="6">
        <f>3031</f>
        <v>3031</v>
      </c>
      <c r="B3033" s="6" t="s">
        <v>8044</v>
      </c>
      <c r="C3033" s="6" t="s">
        <v>12</v>
      </c>
      <c r="D3033" s="6" t="s">
        <v>6677</v>
      </c>
      <c r="E3033" s="6" t="s">
        <v>7876</v>
      </c>
      <c r="F3033" s="6" t="s">
        <v>8045</v>
      </c>
      <c r="G3033" s="6" t="s">
        <v>16</v>
      </c>
      <c r="H3033" s="5">
        <v>2</v>
      </c>
      <c r="I3033" s="6" t="s">
        <v>8046</v>
      </c>
      <c r="J3033" s="5">
        <v>820</v>
      </c>
    </row>
    <row r="3034" s="2" customFormat="1" ht="27" spans="1:10">
      <c r="A3034" s="6">
        <f>3032</f>
        <v>3032</v>
      </c>
      <c r="B3034" s="6" t="s">
        <v>8047</v>
      </c>
      <c r="C3034" s="6" t="s">
        <v>12</v>
      </c>
      <c r="D3034" s="6" t="s">
        <v>6677</v>
      </c>
      <c r="E3034" s="6" t="s">
        <v>7876</v>
      </c>
      <c r="F3034" s="6" t="s">
        <v>8048</v>
      </c>
      <c r="G3034" s="6" t="s">
        <v>16</v>
      </c>
      <c r="H3034" s="5">
        <v>4</v>
      </c>
      <c r="I3034" s="6" t="s">
        <v>8049</v>
      </c>
      <c r="J3034" s="5">
        <v>543</v>
      </c>
    </row>
    <row r="3035" s="2" customFormat="1" spans="1:10">
      <c r="A3035" s="6">
        <f>3033</f>
        <v>3033</v>
      </c>
      <c r="B3035" s="6" t="s">
        <v>8050</v>
      </c>
      <c r="C3035" s="6" t="s">
        <v>12</v>
      </c>
      <c r="D3035" s="6" t="s">
        <v>6677</v>
      </c>
      <c r="E3035" s="6" t="s">
        <v>7876</v>
      </c>
      <c r="F3035" s="6" t="s">
        <v>8051</v>
      </c>
      <c r="G3035" s="6" t="s">
        <v>16</v>
      </c>
      <c r="H3035" s="5">
        <v>3</v>
      </c>
      <c r="I3035" s="6" t="s">
        <v>8052</v>
      </c>
      <c r="J3035" s="5">
        <v>605</v>
      </c>
    </row>
    <row r="3036" s="2" customFormat="1" spans="1:10">
      <c r="A3036" s="6">
        <f>3034</f>
        <v>3034</v>
      </c>
      <c r="B3036" s="6" t="s">
        <v>8053</v>
      </c>
      <c r="C3036" s="6" t="s">
        <v>12</v>
      </c>
      <c r="D3036" s="6" t="s">
        <v>6677</v>
      </c>
      <c r="E3036" s="6" t="s">
        <v>7876</v>
      </c>
      <c r="F3036" s="6" t="s">
        <v>8054</v>
      </c>
      <c r="G3036" s="6" t="s">
        <v>16</v>
      </c>
      <c r="H3036" s="5">
        <v>1</v>
      </c>
      <c r="I3036" s="6" t="s">
        <v>8054</v>
      </c>
      <c r="J3036" s="5">
        <v>365</v>
      </c>
    </row>
    <row r="3037" s="2" customFormat="1" spans="1:10">
      <c r="A3037" s="6">
        <f>3035</f>
        <v>3035</v>
      </c>
      <c r="B3037" s="6" t="s">
        <v>8055</v>
      </c>
      <c r="C3037" s="6" t="s">
        <v>12</v>
      </c>
      <c r="D3037" s="6" t="s">
        <v>6677</v>
      </c>
      <c r="E3037" s="6" t="s">
        <v>7876</v>
      </c>
      <c r="F3037" s="6" t="s">
        <v>8056</v>
      </c>
      <c r="G3037" s="6" t="s">
        <v>16</v>
      </c>
      <c r="H3037" s="5">
        <v>3</v>
      </c>
      <c r="I3037" s="6" t="s">
        <v>8057</v>
      </c>
      <c r="J3037" s="5">
        <v>1620</v>
      </c>
    </row>
    <row r="3038" s="2" customFormat="1" spans="1:10">
      <c r="A3038" s="6">
        <f>3036</f>
        <v>3036</v>
      </c>
      <c r="B3038" s="6" t="s">
        <v>8058</v>
      </c>
      <c r="C3038" s="6" t="s">
        <v>12</v>
      </c>
      <c r="D3038" s="6" t="s">
        <v>6677</v>
      </c>
      <c r="E3038" s="6" t="s">
        <v>7876</v>
      </c>
      <c r="F3038" s="6" t="s">
        <v>8059</v>
      </c>
      <c r="G3038" s="6" t="s">
        <v>16</v>
      </c>
      <c r="H3038" s="5">
        <v>3</v>
      </c>
      <c r="I3038" s="6" t="s">
        <v>8060</v>
      </c>
      <c r="J3038" s="5">
        <v>350</v>
      </c>
    </row>
    <row r="3039" s="2" customFormat="1" spans="1:10">
      <c r="A3039" s="6">
        <f>3037</f>
        <v>3037</v>
      </c>
      <c r="B3039" s="6" t="s">
        <v>8061</v>
      </c>
      <c r="C3039" s="6" t="s">
        <v>12</v>
      </c>
      <c r="D3039" s="6" t="s">
        <v>6677</v>
      </c>
      <c r="E3039" s="6" t="s">
        <v>7876</v>
      </c>
      <c r="F3039" s="6" t="s">
        <v>8062</v>
      </c>
      <c r="G3039" s="6" t="s">
        <v>16</v>
      </c>
      <c r="H3039" s="5">
        <v>3</v>
      </c>
      <c r="I3039" s="6" t="s">
        <v>8063</v>
      </c>
      <c r="J3039" s="5">
        <v>794</v>
      </c>
    </row>
    <row r="3040" s="2" customFormat="1" spans="1:10">
      <c r="A3040" s="6">
        <f>3038</f>
        <v>3038</v>
      </c>
      <c r="B3040" s="6" t="s">
        <v>8064</v>
      </c>
      <c r="C3040" s="6" t="s">
        <v>12</v>
      </c>
      <c r="D3040" s="6" t="s">
        <v>6677</v>
      </c>
      <c r="E3040" s="6" t="s">
        <v>7876</v>
      </c>
      <c r="F3040" s="6" t="s">
        <v>8065</v>
      </c>
      <c r="G3040" s="6" t="s">
        <v>16</v>
      </c>
      <c r="H3040" s="5">
        <v>1</v>
      </c>
      <c r="I3040" s="6" t="s">
        <v>8065</v>
      </c>
      <c r="J3040" s="5">
        <v>235</v>
      </c>
    </row>
    <row r="3041" s="2" customFormat="1" spans="1:10">
      <c r="A3041" s="6">
        <f>3039</f>
        <v>3039</v>
      </c>
      <c r="B3041" s="6" t="s">
        <v>8066</v>
      </c>
      <c r="C3041" s="6" t="s">
        <v>12</v>
      </c>
      <c r="D3041" s="6" t="s">
        <v>6677</v>
      </c>
      <c r="E3041" s="6" t="s">
        <v>7876</v>
      </c>
      <c r="F3041" s="6" t="s">
        <v>8067</v>
      </c>
      <c r="G3041" s="6" t="s">
        <v>16</v>
      </c>
      <c r="H3041" s="5">
        <v>3</v>
      </c>
      <c r="I3041" s="6" t="s">
        <v>8068</v>
      </c>
      <c r="J3041" s="5">
        <v>730</v>
      </c>
    </row>
    <row r="3042" s="2" customFormat="1" spans="1:10">
      <c r="A3042" s="6">
        <f>3040</f>
        <v>3040</v>
      </c>
      <c r="B3042" s="6" t="s">
        <v>8069</v>
      </c>
      <c r="C3042" s="6" t="s">
        <v>12</v>
      </c>
      <c r="D3042" s="6" t="s">
        <v>6677</v>
      </c>
      <c r="E3042" s="6" t="s">
        <v>7876</v>
      </c>
      <c r="F3042" s="6" t="s">
        <v>8070</v>
      </c>
      <c r="G3042" s="6" t="s">
        <v>16</v>
      </c>
      <c r="H3042" s="5">
        <v>1</v>
      </c>
      <c r="I3042" s="6" t="s">
        <v>8070</v>
      </c>
      <c r="J3042" s="5">
        <v>144</v>
      </c>
    </row>
    <row r="3043" s="2" customFormat="1" spans="1:10">
      <c r="A3043" s="6">
        <f>3041</f>
        <v>3041</v>
      </c>
      <c r="B3043" s="6" t="s">
        <v>8071</v>
      </c>
      <c r="C3043" s="6" t="s">
        <v>12</v>
      </c>
      <c r="D3043" s="6" t="s">
        <v>6677</v>
      </c>
      <c r="E3043" s="6" t="s">
        <v>7876</v>
      </c>
      <c r="F3043" s="6" t="s">
        <v>8072</v>
      </c>
      <c r="G3043" s="6" t="s">
        <v>16</v>
      </c>
      <c r="H3043" s="5">
        <v>1</v>
      </c>
      <c r="I3043" s="6" t="s">
        <v>8072</v>
      </c>
      <c r="J3043" s="5">
        <v>305</v>
      </c>
    </row>
    <row r="3044" s="2" customFormat="1" spans="1:10">
      <c r="A3044" s="6">
        <f>3042</f>
        <v>3042</v>
      </c>
      <c r="B3044" s="6" t="s">
        <v>8073</v>
      </c>
      <c r="C3044" s="6" t="s">
        <v>12</v>
      </c>
      <c r="D3044" s="6" t="s">
        <v>6677</v>
      </c>
      <c r="E3044" s="6" t="s">
        <v>7876</v>
      </c>
      <c r="F3044" s="6" t="s">
        <v>8074</v>
      </c>
      <c r="G3044" s="6" t="s">
        <v>16</v>
      </c>
      <c r="H3044" s="5">
        <v>1</v>
      </c>
      <c r="I3044" s="6" t="s">
        <v>8074</v>
      </c>
      <c r="J3044" s="5">
        <v>245</v>
      </c>
    </row>
    <row r="3045" s="2" customFormat="1" spans="1:10">
      <c r="A3045" s="6">
        <f>3043</f>
        <v>3043</v>
      </c>
      <c r="B3045" s="6" t="s">
        <v>8075</v>
      </c>
      <c r="C3045" s="6" t="s">
        <v>12</v>
      </c>
      <c r="D3045" s="6" t="s">
        <v>6677</v>
      </c>
      <c r="E3045" s="6" t="s">
        <v>7876</v>
      </c>
      <c r="F3045" s="6" t="s">
        <v>8076</v>
      </c>
      <c r="G3045" s="6" t="s">
        <v>16</v>
      </c>
      <c r="H3045" s="5">
        <v>1</v>
      </c>
      <c r="I3045" s="6" t="s">
        <v>8076</v>
      </c>
      <c r="J3045" s="5">
        <v>370</v>
      </c>
    </row>
    <row r="3046" s="2" customFormat="1" spans="1:10">
      <c r="A3046" s="6">
        <f>3044</f>
        <v>3044</v>
      </c>
      <c r="B3046" s="6" t="s">
        <v>8077</v>
      </c>
      <c r="C3046" s="6" t="s">
        <v>12</v>
      </c>
      <c r="D3046" s="6" t="s">
        <v>6677</v>
      </c>
      <c r="E3046" s="6" t="s">
        <v>7876</v>
      </c>
      <c r="F3046" s="6" t="s">
        <v>8078</v>
      </c>
      <c r="G3046" s="6" t="s">
        <v>16</v>
      </c>
      <c r="H3046" s="5">
        <v>1</v>
      </c>
      <c r="I3046" s="6" t="s">
        <v>8078</v>
      </c>
      <c r="J3046" s="5">
        <v>345</v>
      </c>
    </row>
    <row r="3047" s="2" customFormat="1" spans="1:10">
      <c r="A3047" s="6">
        <f>3045</f>
        <v>3045</v>
      </c>
      <c r="B3047" s="6" t="s">
        <v>8079</v>
      </c>
      <c r="C3047" s="6" t="s">
        <v>12</v>
      </c>
      <c r="D3047" s="6" t="s">
        <v>6677</v>
      </c>
      <c r="E3047" s="6" t="s">
        <v>7876</v>
      </c>
      <c r="F3047" s="6" t="s">
        <v>8080</v>
      </c>
      <c r="G3047" s="6" t="s">
        <v>16</v>
      </c>
      <c r="H3047" s="5">
        <v>1</v>
      </c>
      <c r="I3047" s="6" t="s">
        <v>8080</v>
      </c>
      <c r="J3047" s="5">
        <v>233</v>
      </c>
    </row>
    <row r="3048" s="2" customFormat="1" spans="1:10">
      <c r="A3048" s="6">
        <f>3046</f>
        <v>3046</v>
      </c>
      <c r="B3048" s="6" t="s">
        <v>8081</v>
      </c>
      <c r="C3048" s="6" t="s">
        <v>12</v>
      </c>
      <c r="D3048" s="6" t="s">
        <v>6677</v>
      </c>
      <c r="E3048" s="6" t="s">
        <v>7876</v>
      </c>
      <c r="F3048" s="6" t="s">
        <v>8082</v>
      </c>
      <c r="G3048" s="6" t="s">
        <v>16</v>
      </c>
      <c r="H3048" s="5">
        <v>3</v>
      </c>
      <c r="I3048" s="6" t="s">
        <v>8083</v>
      </c>
      <c r="J3048" s="5">
        <v>526</v>
      </c>
    </row>
    <row r="3049" s="2" customFormat="1" spans="1:10">
      <c r="A3049" s="6">
        <f>3047</f>
        <v>3047</v>
      </c>
      <c r="B3049" s="6" t="s">
        <v>8084</v>
      </c>
      <c r="C3049" s="6" t="s">
        <v>12</v>
      </c>
      <c r="D3049" s="6" t="s">
        <v>6677</v>
      </c>
      <c r="E3049" s="6" t="s">
        <v>7876</v>
      </c>
      <c r="F3049" s="6" t="s">
        <v>8085</v>
      </c>
      <c r="G3049" s="6" t="s">
        <v>16</v>
      </c>
      <c r="H3049" s="5">
        <v>1</v>
      </c>
      <c r="I3049" s="6" t="s">
        <v>8085</v>
      </c>
      <c r="J3049" s="5">
        <v>335</v>
      </c>
    </row>
    <row r="3050" s="2" customFormat="1" spans="1:10">
      <c r="A3050" s="6">
        <f>3048</f>
        <v>3048</v>
      </c>
      <c r="B3050" s="6" t="s">
        <v>8086</v>
      </c>
      <c r="C3050" s="6" t="s">
        <v>12</v>
      </c>
      <c r="D3050" s="6" t="s">
        <v>6677</v>
      </c>
      <c r="E3050" s="6" t="s">
        <v>7876</v>
      </c>
      <c r="F3050" s="6" t="s">
        <v>8087</v>
      </c>
      <c r="G3050" s="6" t="s">
        <v>16</v>
      </c>
      <c r="H3050" s="5">
        <v>1</v>
      </c>
      <c r="I3050" s="6" t="s">
        <v>8087</v>
      </c>
      <c r="J3050" s="5">
        <v>460</v>
      </c>
    </row>
    <row r="3051" s="2" customFormat="1" ht="27" spans="1:10">
      <c r="A3051" s="6">
        <f>3049</f>
        <v>3049</v>
      </c>
      <c r="B3051" s="6" t="s">
        <v>8088</v>
      </c>
      <c r="C3051" s="6" t="s">
        <v>12</v>
      </c>
      <c r="D3051" s="6" t="s">
        <v>6677</v>
      </c>
      <c r="E3051" s="6" t="s">
        <v>7876</v>
      </c>
      <c r="F3051" s="6" t="s">
        <v>8089</v>
      </c>
      <c r="G3051" s="6" t="s">
        <v>16</v>
      </c>
      <c r="H3051" s="5">
        <v>5</v>
      </c>
      <c r="I3051" s="6" t="s">
        <v>8090</v>
      </c>
      <c r="J3051" s="5">
        <v>765</v>
      </c>
    </row>
    <row r="3052" s="2" customFormat="1" spans="1:10">
      <c r="A3052" s="6">
        <f>3050</f>
        <v>3050</v>
      </c>
      <c r="B3052" s="6" t="s">
        <v>8091</v>
      </c>
      <c r="C3052" s="6" t="s">
        <v>12</v>
      </c>
      <c r="D3052" s="6" t="s">
        <v>6677</v>
      </c>
      <c r="E3052" s="6" t="s">
        <v>7876</v>
      </c>
      <c r="F3052" s="6" t="s">
        <v>8092</v>
      </c>
      <c r="G3052" s="6" t="s">
        <v>16</v>
      </c>
      <c r="H3052" s="5">
        <v>1</v>
      </c>
      <c r="I3052" s="6" t="s">
        <v>8092</v>
      </c>
      <c r="J3052" s="5">
        <v>285</v>
      </c>
    </row>
    <row r="3053" s="2" customFormat="1" spans="1:10">
      <c r="A3053" s="6">
        <f>3051</f>
        <v>3051</v>
      </c>
      <c r="B3053" s="6" t="s">
        <v>8093</v>
      </c>
      <c r="C3053" s="6" t="s">
        <v>12</v>
      </c>
      <c r="D3053" s="6" t="s">
        <v>6677</v>
      </c>
      <c r="E3053" s="6" t="s">
        <v>7876</v>
      </c>
      <c r="F3053" s="6" t="s">
        <v>8094</v>
      </c>
      <c r="G3053" s="6" t="s">
        <v>16</v>
      </c>
      <c r="H3053" s="5">
        <v>2</v>
      </c>
      <c r="I3053" s="6" t="s">
        <v>8095</v>
      </c>
      <c r="J3053" s="5">
        <v>293</v>
      </c>
    </row>
    <row r="3054" s="2" customFormat="1" spans="1:10">
      <c r="A3054" s="6">
        <f>3052</f>
        <v>3052</v>
      </c>
      <c r="B3054" s="6" t="s">
        <v>8096</v>
      </c>
      <c r="C3054" s="6" t="s">
        <v>12</v>
      </c>
      <c r="D3054" s="6" t="s">
        <v>6677</v>
      </c>
      <c r="E3054" s="6" t="s">
        <v>7876</v>
      </c>
      <c r="F3054" s="6" t="s">
        <v>8097</v>
      </c>
      <c r="G3054" s="6" t="s">
        <v>16</v>
      </c>
      <c r="H3054" s="5">
        <v>1</v>
      </c>
      <c r="I3054" s="6" t="s">
        <v>8097</v>
      </c>
      <c r="J3054" s="5">
        <v>235</v>
      </c>
    </row>
    <row r="3055" s="2" customFormat="1" spans="1:10">
      <c r="A3055" s="6">
        <f>3053</f>
        <v>3053</v>
      </c>
      <c r="B3055" s="6" t="s">
        <v>8098</v>
      </c>
      <c r="C3055" s="6" t="s">
        <v>12</v>
      </c>
      <c r="D3055" s="6" t="s">
        <v>6677</v>
      </c>
      <c r="E3055" s="6" t="s">
        <v>7876</v>
      </c>
      <c r="F3055" s="6" t="s">
        <v>8099</v>
      </c>
      <c r="G3055" s="6" t="s">
        <v>16</v>
      </c>
      <c r="H3055" s="5">
        <v>1</v>
      </c>
      <c r="I3055" s="6" t="s">
        <v>8099</v>
      </c>
      <c r="J3055" s="5">
        <v>345</v>
      </c>
    </row>
    <row r="3056" s="2" customFormat="1" spans="1:10">
      <c r="A3056" s="6">
        <f>3054</f>
        <v>3054</v>
      </c>
      <c r="B3056" s="6" t="s">
        <v>8100</v>
      </c>
      <c r="C3056" s="6" t="s">
        <v>12</v>
      </c>
      <c r="D3056" s="6" t="s">
        <v>6677</v>
      </c>
      <c r="E3056" s="6" t="s">
        <v>7876</v>
      </c>
      <c r="F3056" s="6" t="s">
        <v>8101</v>
      </c>
      <c r="G3056" s="6" t="s">
        <v>16</v>
      </c>
      <c r="H3056" s="5">
        <v>2</v>
      </c>
      <c r="I3056" s="6" t="s">
        <v>8102</v>
      </c>
      <c r="J3056" s="5">
        <v>300</v>
      </c>
    </row>
    <row r="3057" s="2" customFormat="1" spans="1:10">
      <c r="A3057" s="6">
        <f>3055</f>
        <v>3055</v>
      </c>
      <c r="B3057" s="6" t="s">
        <v>8103</v>
      </c>
      <c r="C3057" s="6" t="s">
        <v>12</v>
      </c>
      <c r="D3057" s="6" t="s">
        <v>6677</v>
      </c>
      <c r="E3057" s="6" t="s">
        <v>7876</v>
      </c>
      <c r="F3057" s="6" t="s">
        <v>8104</v>
      </c>
      <c r="G3057" s="6" t="s">
        <v>16</v>
      </c>
      <c r="H3057" s="5">
        <v>1</v>
      </c>
      <c r="I3057" s="6" t="s">
        <v>8104</v>
      </c>
      <c r="J3057" s="5">
        <v>445</v>
      </c>
    </row>
    <row r="3058" s="2" customFormat="1" ht="27" spans="1:10">
      <c r="A3058" s="6">
        <f>3056</f>
        <v>3056</v>
      </c>
      <c r="B3058" s="6" t="s">
        <v>8105</v>
      </c>
      <c r="C3058" s="6" t="s">
        <v>12</v>
      </c>
      <c r="D3058" s="6" t="s">
        <v>6677</v>
      </c>
      <c r="E3058" s="6" t="s">
        <v>7876</v>
      </c>
      <c r="F3058" s="6" t="s">
        <v>8106</v>
      </c>
      <c r="G3058" s="6" t="s">
        <v>16</v>
      </c>
      <c r="H3058" s="5">
        <v>6</v>
      </c>
      <c r="I3058" s="6" t="s">
        <v>8107</v>
      </c>
      <c r="J3058" s="5">
        <v>660</v>
      </c>
    </row>
    <row r="3059" s="2" customFormat="1" ht="27" spans="1:10">
      <c r="A3059" s="6">
        <f>3057</f>
        <v>3057</v>
      </c>
      <c r="B3059" s="6" t="s">
        <v>8108</v>
      </c>
      <c r="C3059" s="6" t="s">
        <v>12</v>
      </c>
      <c r="D3059" s="6" t="s">
        <v>6677</v>
      </c>
      <c r="E3059" s="6" t="s">
        <v>7876</v>
      </c>
      <c r="F3059" s="6" t="s">
        <v>8109</v>
      </c>
      <c r="G3059" s="6" t="s">
        <v>16</v>
      </c>
      <c r="H3059" s="5">
        <v>4</v>
      </c>
      <c r="I3059" s="6" t="s">
        <v>8110</v>
      </c>
      <c r="J3059" s="5">
        <v>275</v>
      </c>
    </row>
    <row r="3060" s="2" customFormat="1" spans="1:10">
      <c r="A3060" s="6">
        <f>3058</f>
        <v>3058</v>
      </c>
      <c r="B3060" s="6" t="s">
        <v>8111</v>
      </c>
      <c r="C3060" s="6" t="s">
        <v>12</v>
      </c>
      <c r="D3060" s="6" t="s">
        <v>6677</v>
      </c>
      <c r="E3060" s="6" t="s">
        <v>7876</v>
      </c>
      <c r="F3060" s="6" t="s">
        <v>8112</v>
      </c>
      <c r="G3060" s="6" t="s">
        <v>16</v>
      </c>
      <c r="H3060" s="5">
        <v>1</v>
      </c>
      <c r="I3060" s="6" t="s">
        <v>8112</v>
      </c>
      <c r="J3060" s="5">
        <v>360</v>
      </c>
    </row>
    <row r="3061" s="2" customFormat="1" spans="1:10">
      <c r="A3061" s="6">
        <f>3059</f>
        <v>3059</v>
      </c>
      <c r="B3061" s="6" t="s">
        <v>8113</v>
      </c>
      <c r="C3061" s="6" t="s">
        <v>12</v>
      </c>
      <c r="D3061" s="6" t="s">
        <v>6677</v>
      </c>
      <c r="E3061" s="6" t="s">
        <v>7876</v>
      </c>
      <c r="F3061" s="6" t="s">
        <v>8114</v>
      </c>
      <c r="G3061" s="6" t="s">
        <v>16</v>
      </c>
      <c r="H3061" s="5">
        <v>1</v>
      </c>
      <c r="I3061" s="6" t="s">
        <v>8114</v>
      </c>
      <c r="J3061" s="5">
        <v>245</v>
      </c>
    </row>
    <row r="3062" s="2" customFormat="1" spans="1:10">
      <c r="A3062" s="6">
        <f>3060</f>
        <v>3060</v>
      </c>
      <c r="B3062" s="6" t="s">
        <v>8115</v>
      </c>
      <c r="C3062" s="6" t="s">
        <v>12</v>
      </c>
      <c r="D3062" s="6" t="s">
        <v>6677</v>
      </c>
      <c r="E3062" s="6" t="s">
        <v>7876</v>
      </c>
      <c r="F3062" s="6" t="s">
        <v>8116</v>
      </c>
      <c r="G3062" s="6" t="s">
        <v>16</v>
      </c>
      <c r="H3062" s="5">
        <v>1</v>
      </c>
      <c r="I3062" s="6" t="s">
        <v>8116</v>
      </c>
      <c r="J3062" s="5">
        <v>355</v>
      </c>
    </row>
    <row r="3063" s="2" customFormat="1" spans="1:10">
      <c r="A3063" s="6">
        <f>3061</f>
        <v>3061</v>
      </c>
      <c r="B3063" s="6" t="s">
        <v>8117</v>
      </c>
      <c r="C3063" s="6" t="s">
        <v>12</v>
      </c>
      <c r="D3063" s="6" t="s">
        <v>6677</v>
      </c>
      <c r="E3063" s="6" t="s">
        <v>7876</v>
      </c>
      <c r="F3063" s="6" t="s">
        <v>8118</v>
      </c>
      <c r="G3063" s="6" t="s">
        <v>16</v>
      </c>
      <c r="H3063" s="5">
        <v>2</v>
      </c>
      <c r="I3063" s="6" t="s">
        <v>8119</v>
      </c>
      <c r="J3063" s="5">
        <v>362</v>
      </c>
    </row>
    <row r="3064" s="2" customFormat="1" spans="1:10">
      <c r="A3064" s="6">
        <f>3062</f>
        <v>3062</v>
      </c>
      <c r="B3064" s="6" t="s">
        <v>8120</v>
      </c>
      <c r="C3064" s="6" t="s">
        <v>12</v>
      </c>
      <c r="D3064" s="6" t="s">
        <v>6677</v>
      </c>
      <c r="E3064" s="6" t="s">
        <v>7876</v>
      </c>
      <c r="F3064" s="6" t="s">
        <v>8121</v>
      </c>
      <c r="G3064" s="6" t="s">
        <v>16</v>
      </c>
      <c r="H3064" s="5">
        <v>1</v>
      </c>
      <c r="I3064" s="6" t="s">
        <v>8121</v>
      </c>
      <c r="J3064" s="5">
        <v>360</v>
      </c>
    </row>
    <row r="3065" s="2" customFormat="1" spans="1:10">
      <c r="A3065" s="6">
        <f>3063</f>
        <v>3063</v>
      </c>
      <c r="B3065" s="6" t="s">
        <v>8122</v>
      </c>
      <c r="C3065" s="6" t="s">
        <v>12</v>
      </c>
      <c r="D3065" s="6" t="s">
        <v>6677</v>
      </c>
      <c r="E3065" s="6" t="s">
        <v>7876</v>
      </c>
      <c r="F3065" s="6" t="s">
        <v>8123</v>
      </c>
      <c r="G3065" s="6" t="s">
        <v>16</v>
      </c>
      <c r="H3065" s="5">
        <v>2</v>
      </c>
      <c r="I3065" s="6" t="s">
        <v>8124</v>
      </c>
      <c r="J3065" s="5">
        <v>550</v>
      </c>
    </row>
    <row r="3066" s="2" customFormat="1" spans="1:10">
      <c r="A3066" s="6">
        <f>3064</f>
        <v>3064</v>
      </c>
      <c r="B3066" s="6" t="s">
        <v>8125</v>
      </c>
      <c r="C3066" s="6" t="s">
        <v>12</v>
      </c>
      <c r="D3066" s="6" t="s">
        <v>6677</v>
      </c>
      <c r="E3066" s="6" t="s">
        <v>7876</v>
      </c>
      <c r="F3066" s="6" t="s">
        <v>8126</v>
      </c>
      <c r="G3066" s="6" t="s">
        <v>16</v>
      </c>
      <c r="H3066" s="5">
        <v>1</v>
      </c>
      <c r="I3066" s="6" t="s">
        <v>8126</v>
      </c>
      <c r="J3066" s="5">
        <v>335</v>
      </c>
    </row>
    <row r="3067" s="2" customFormat="1" spans="1:10">
      <c r="A3067" s="6">
        <f>3065</f>
        <v>3065</v>
      </c>
      <c r="B3067" s="6" t="s">
        <v>8127</v>
      </c>
      <c r="C3067" s="6" t="s">
        <v>12</v>
      </c>
      <c r="D3067" s="6" t="s">
        <v>6677</v>
      </c>
      <c r="E3067" s="6" t="s">
        <v>7876</v>
      </c>
      <c r="F3067" s="6" t="s">
        <v>8128</v>
      </c>
      <c r="G3067" s="6" t="s">
        <v>16</v>
      </c>
      <c r="H3067" s="5">
        <v>2</v>
      </c>
      <c r="I3067" s="6" t="s">
        <v>8129</v>
      </c>
      <c r="J3067" s="5">
        <v>470</v>
      </c>
    </row>
    <row r="3068" s="2" customFormat="1" spans="1:10">
      <c r="A3068" s="6">
        <f>3066</f>
        <v>3066</v>
      </c>
      <c r="B3068" s="6" t="s">
        <v>8130</v>
      </c>
      <c r="C3068" s="6" t="s">
        <v>12</v>
      </c>
      <c r="D3068" s="6" t="s">
        <v>6677</v>
      </c>
      <c r="E3068" s="6" t="s">
        <v>7876</v>
      </c>
      <c r="F3068" s="6" t="s">
        <v>8131</v>
      </c>
      <c r="G3068" s="6" t="s">
        <v>16</v>
      </c>
      <c r="H3068" s="5">
        <v>1</v>
      </c>
      <c r="I3068" s="6" t="s">
        <v>8131</v>
      </c>
      <c r="J3068" s="5">
        <v>331</v>
      </c>
    </row>
    <row r="3069" s="2" customFormat="1" spans="1:10">
      <c r="A3069" s="6">
        <f>3067</f>
        <v>3067</v>
      </c>
      <c r="B3069" s="6" t="s">
        <v>8132</v>
      </c>
      <c r="C3069" s="6" t="s">
        <v>12</v>
      </c>
      <c r="D3069" s="6" t="s">
        <v>6677</v>
      </c>
      <c r="E3069" s="6" t="s">
        <v>7876</v>
      </c>
      <c r="F3069" s="6" t="s">
        <v>8133</v>
      </c>
      <c r="G3069" s="6" t="s">
        <v>16</v>
      </c>
      <c r="H3069" s="5">
        <v>2</v>
      </c>
      <c r="I3069" s="6" t="s">
        <v>8134</v>
      </c>
      <c r="J3069" s="5">
        <v>305</v>
      </c>
    </row>
    <row r="3070" s="2" customFormat="1" spans="1:10">
      <c r="A3070" s="6">
        <f>3068</f>
        <v>3068</v>
      </c>
      <c r="B3070" s="6" t="s">
        <v>8135</v>
      </c>
      <c r="C3070" s="6" t="s">
        <v>12</v>
      </c>
      <c r="D3070" s="6" t="s">
        <v>6677</v>
      </c>
      <c r="E3070" s="6" t="s">
        <v>7876</v>
      </c>
      <c r="F3070" s="6" t="s">
        <v>8136</v>
      </c>
      <c r="G3070" s="6" t="s">
        <v>16</v>
      </c>
      <c r="H3070" s="5">
        <v>1</v>
      </c>
      <c r="I3070" s="6" t="s">
        <v>8136</v>
      </c>
      <c r="J3070" s="5">
        <v>275</v>
      </c>
    </row>
    <row r="3071" s="2" customFormat="1" spans="1:10">
      <c r="A3071" s="6">
        <f>3069</f>
        <v>3069</v>
      </c>
      <c r="B3071" s="6" t="s">
        <v>8137</v>
      </c>
      <c r="C3071" s="6" t="s">
        <v>12</v>
      </c>
      <c r="D3071" s="6" t="s">
        <v>6677</v>
      </c>
      <c r="E3071" s="6" t="s">
        <v>7876</v>
      </c>
      <c r="F3071" s="6" t="s">
        <v>8138</v>
      </c>
      <c r="G3071" s="6" t="s">
        <v>16</v>
      </c>
      <c r="H3071" s="5">
        <v>2</v>
      </c>
      <c r="I3071" s="6" t="s">
        <v>8139</v>
      </c>
      <c r="J3071" s="5">
        <v>550</v>
      </c>
    </row>
    <row r="3072" s="2" customFormat="1" spans="1:10">
      <c r="A3072" s="6">
        <f>3070</f>
        <v>3070</v>
      </c>
      <c r="B3072" s="6" t="s">
        <v>8140</v>
      </c>
      <c r="C3072" s="6" t="s">
        <v>12</v>
      </c>
      <c r="D3072" s="6" t="s">
        <v>6677</v>
      </c>
      <c r="E3072" s="6" t="s">
        <v>7876</v>
      </c>
      <c r="F3072" s="6" t="s">
        <v>8141</v>
      </c>
      <c r="G3072" s="6" t="s">
        <v>16</v>
      </c>
      <c r="H3072" s="5">
        <v>1</v>
      </c>
      <c r="I3072" s="6" t="s">
        <v>8141</v>
      </c>
      <c r="J3072" s="5">
        <v>270</v>
      </c>
    </row>
    <row r="3073" s="2" customFormat="1" spans="1:10">
      <c r="A3073" s="6">
        <f>3071</f>
        <v>3071</v>
      </c>
      <c r="B3073" s="6" t="s">
        <v>8142</v>
      </c>
      <c r="C3073" s="6" t="s">
        <v>12</v>
      </c>
      <c r="D3073" s="6" t="s">
        <v>6677</v>
      </c>
      <c r="E3073" s="6" t="s">
        <v>7876</v>
      </c>
      <c r="F3073" s="6" t="s">
        <v>8143</v>
      </c>
      <c r="G3073" s="6" t="s">
        <v>16</v>
      </c>
      <c r="H3073" s="5">
        <v>1</v>
      </c>
      <c r="I3073" s="6" t="s">
        <v>8143</v>
      </c>
      <c r="J3073" s="5">
        <v>280</v>
      </c>
    </row>
    <row r="3074" s="2" customFormat="1" spans="1:10">
      <c r="A3074" s="6">
        <f>3072</f>
        <v>3072</v>
      </c>
      <c r="B3074" s="6" t="s">
        <v>8144</v>
      </c>
      <c r="C3074" s="6" t="s">
        <v>12</v>
      </c>
      <c r="D3074" s="6" t="s">
        <v>6677</v>
      </c>
      <c r="E3074" s="6" t="s">
        <v>7876</v>
      </c>
      <c r="F3074" s="6" t="s">
        <v>8145</v>
      </c>
      <c r="G3074" s="6" t="s">
        <v>16</v>
      </c>
      <c r="H3074" s="5">
        <v>3</v>
      </c>
      <c r="I3074" s="6" t="s">
        <v>8146</v>
      </c>
      <c r="J3074" s="5">
        <v>680</v>
      </c>
    </row>
    <row r="3075" s="2" customFormat="1" spans="1:10">
      <c r="A3075" s="6">
        <f>3073</f>
        <v>3073</v>
      </c>
      <c r="B3075" s="6" t="s">
        <v>8147</v>
      </c>
      <c r="C3075" s="6" t="s">
        <v>12</v>
      </c>
      <c r="D3075" s="6" t="s">
        <v>6677</v>
      </c>
      <c r="E3075" s="6" t="s">
        <v>7876</v>
      </c>
      <c r="F3075" s="6" t="s">
        <v>8148</v>
      </c>
      <c r="G3075" s="6" t="s">
        <v>16</v>
      </c>
      <c r="H3075" s="5">
        <v>2</v>
      </c>
      <c r="I3075" s="6" t="s">
        <v>8149</v>
      </c>
      <c r="J3075" s="5">
        <v>500</v>
      </c>
    </row>
    <row r="3076" s="2" customFormat="1" spans="1:10">
      <c r="A3076" s="6">
        <f>3074</f>
        <v>3074</v>
      </c>
      <c r="B3076" s="6" t="s">
        <v>8150</v>
      </c>
      <c r="C3076" s="6" t="s">
        <v>12</v>
      </c>
      <c r="D3076" s="6" t="s">
        <v>6677</v>
      </c>
      <c r="E3076" s="6" t="s">
        <v>8151</v>
      </c>
      <c r="F3076" s="6" t="s">
        <v>8152</v>
      </c>
      <c r="G3076" s="6" t="s">
        <v>16</v>
      </c>
      <c r="H3076" s="5">
        <v>1</v>
      </c>
      <c r="I3076" s="6" t="s">
        <v>8152</v>
      </c>
      <c r="J3076" s="5">
        <v>540</v>
      </c>
    </row>
    <row r="3077" s="2" customFormat="1" spans="1:10">
      <c r="A3077" s="6">
        <f>3075</f>
        <v>3075</v>
      </c>
      <c r="B3077" s="6" t="s">
        <v>8153</v>
      </c>
      <c r="C3077" s="6" t="s">
        <v>12</v>
      </c>
      <c r="D3077" s="6" t="s">
        <v>6677</v>
      </c>
      <c r="E3077" s="6" t="s">
        <v>8151</v>
      </c>
      <c r="F3077" s="6" t="s">
        <v>8154</v>
      </c>
      <c r="G3077" s="6" t="s">
        <v>16</v>
      </c>
      <c r="H3077" s="5">
        <v>2</v>
      </c>
      <c r="I3077" s="6" t="s">
        <v>8155</v>
      </c>
      <c r="J3077" s="5">
        <v>1140</v>
      </c>
    </row>
    <row r="3078" s="2" customFormat="1" spans="1:10">
      <c r="A3078" s="6">
        <f>3076</f>
        <v>3076</v>
      </c>
      <c r="B3078" s="6" t="s">
        <v>8156</v>
      </c>
      <c r="C3078" s="6" t="s">
        <v>12</v>
      </c>
      <c r="D3078" s="6" t="s">
        <v>6677</v>
      </c>
      <c r="E3078" s="6" t="s">
        <v>8151</v>
      </c>
      <c r="F3078" s="6" t="s">
        <v>8157</v>
      </c>
      <c r="G3078" s="6" t="s">
        <v>16</v>
      </c>
      <c r="H3078" s="5">
        <v>3</v>
      </c>
      <c r="I3078" s="6" t="s">
        <v>8158</v>
      </c>
      <c r="J3078" s="5">
        <v>780</v>
      </c>
    </row>
    <row r="3079" s="2" customFormat="1" ht="27" spans="1:10">
      <c r="A3079" s="6">
        <f>3077</f>
        <v>3077</v>
      </c>
      <c r="B3079" s="6" t="s">
        <v>8159</v>
      </c>
      <c r="C3079" s="6" t="s">
        <v>12</v>
      </c>
      <c r="D3079" s="6" t="s">
        <v>6677</v>
      </c>
      <c r="E3079" s="6" t="s">
        <v>8151</v>
      </c>
      <c r="F3079" s="6" t="s">
        <v>8160</v>
      </c>
      <c r="G3079" s="6" t="s">
        <v>16</v>
      </c>
      <c r="H3079" s="5">
        <v>4</v>
      </c>
      <c r="I3079" s="6" t="s">
        <v>8161</v>
      </c>
      <c r="J3079" s="5">
        <v>1440</v>
      </c>
    </row>
    <row r="3080" s="2" customFormat="1" spans="1:10">
      <c r="A3080" s="6">
        <f>3078</f>
        <v>3078</v>
      </c>
      <c r="B3080" s="6" t="s">
        <v>8162</v>
      </c>
      <c r="C3080" s="6" t="s">
        <v>12</v>
      </c>
      <c r="D3080" s="6" t="s">
        <v>6677</v>
      </c>
      <c r="E3080" s="6" t="s">
        <v>8151</v>
      </c>
      <c r="F3080" s="6" t="s">
        <v>8163</v>
      </c>
      <c r="G3080" s="6" t="s">
        <v>16</v>
      </c>
      <c r="H3080" s="5">
        <v>3</v>
      </c>
      <c r="I3080" s="6" t="s">
        <v>8164</v>
      </c>
      <c r="J3080" s="5">
        <v>330</v>
      </c>
    </row>
    <row r="3081" s="2" customFormat="1" spans="1:10">
      <c r="A3081" s="6">
        <f>3079</f>
        <v>3079</v>
      </c>
      <c r="B3081" s="6" t="s">
        <v>8165</v>
      </c>
      <c r="C3081" s="6" t="s">
        <v>12</v>
      </c>
      <c r="D3081" s="6" t="s">
        <v>6677</v>
      </c>
      <c r="E3081" s="6" t="s">
        <v>8151</v>
      </c>
      <c r="F3081" s="6" t="s">
        <v>8166</v>
      </c>
      <c r="G3081" s="6" t="s">
        <v>16</v>
      </c>
      <c r="H3081" s="5">
        <v>3</v>
      </c>
      <c r="I3081" s="6" t="s">
        <v>8167</v>
      </c>
      <c r="J3081" s="5">
        <v>1320</v>
      </c>
    </row>
    <row r="3082" s="2" customFormat="1" spans="1:10">
      <c r="A3082" s="6">
        <f>3080</f>
        <v>3080</v>
      </c>
      <c r="B3082" s="6" t="s">
        <v>8168</v>
      </c>
      <c r="C3082" s="6" t="s">
        <v>12</v>
      </c>
      <c r="D3082" s="6" t="s">
        <v>6677</v>
      </c>
      <c r="E3082" s="6" t="s">
        <v>8151</v>
      </c>
      <c r="F3082" s="6" t="s">
        <v>8169</v>
      </c>
      <c r="G3082" s="6" t="s">
        <v>16</v>
      </c>
      <c r="H3082" s="5">
        <v>3</v>
      </c>
      <c r="I3082" s="6" t="s">
        <v>8170</v>
      </c>
      <c r="J3082" s="5">
        <v>1620</v>
      </c>
    </row>
    <row r="3083" s="2" customFormat="1" spans="1:10">
      <c r="A3083" s="6">
        <f>3081</f>
        <v>3081</v>
      </c>
      <c r="B3083" s="6" t="s">
        <v>8171</v>
      </c>
      <c r="C3083" s="6" t="s">
        <v>12</v>
      </c>
      <c r="D3083" s="6" t="s">
        <v>6677</v>
      </c>
      <c r="E3083" s="6" t="s">
        <v>8151</v>
      </c>
      <c r="F3083" s="6" t="s">
        <v>8172</v>
      </c>
      <c r="G3083" s="6" t="s">
        <v>16</v>
      </c>
      <c r="H3083" s="5">
        <v>1</v>
      </c>
      <c r="I3083" s="6" t="s">
        <v>8172</v>
      </c>
      <c r="J3083" s="5">
        <v>320</v>
      </c>
    </row>
    <row r="3084" s="2" customFormat="1" spans="1:10">
      <c r="A3084" s="6">
        <f>3082</f>
        <v>3082</v>
      </c>
      <c r="B3084" s="6" t="s">
        <v>8173</v>
      </c>
      <c r="C3084" s="6" t="s">
        <v>12</v>
      </c>
      <c r="D3084" s="6" t="s">
        <v>6677</v>
      </c>
      <c r="E3084" s="6" t="s">
        <v>8151</v>
      </c>
      <c r="F3084" s="6" t="s">
        <v>8174</v>
      </c>
      <c r="G3084" s="6" t="s">
        <v>16</v>
      </c>
      <c r="H3084" s="5">
        <v>1</v>
      </c>
      <c r="I3084" s="6" t="s">
        <v>8174</v>
      </c>
      <c r="J3084" s="5">
        <v>540</v>
      </c>
    </row>
    <row r="3085" s="2" customFormat="1" spans="1:10">
      <c r="A3085" s="6">
        <f>3083</f>
        <v>3083</v>
      </c>
      <c r="B3085" s="6" t="s">
        <v>8175</v>
      </c>
      <c r="C3085" s="6" t="s">
        <v>12</v>
      </c>
      <c r="D3085" s="6" t="s">
        <v>6677</v>
      </c>
      <c r="E3085" s="6" t="s">
        <v>8151</v>
      </c>
      <c r="F3085" s="6" t="s">
        <v>8176</v>
      </c>
      <c r="G3085" s="6" t="s">
        <v>16</v>
      </c>
      <c r="H3085" s="5">
        <v>2</v>
      </c>
      <c r="I3085" s="6" t="s">
        <v>8177</v>
      </c>
      <c r="J3085" s="5">
        <v>620</v>
      </c>
    </row>
    <row r="3086" s="2" customFormat="1" spans="1:10">
      <c r="A3086" s="6">
        <f>3084</f>
        <v>3084</v>
      </c>
      <c r="B3086" s="6" t="s">
        <v>8178</v>
      </c>
      <c r="C3086" s="6" t="s">
        <v>12</v>
      </c>
      <c r="D3086" s="6" t="s">
        <v>6677</v>
      </c>
      <c r="E3086" s="6" t="s">
        <v>8151</v>
      </c>
      <c r="F3086" s="6" t="s">
        <v>8179</v>
      </c>
      <c r="G3086" s="6" t="s">
        <v>16</v>
      </c>
      <c r="H3086" s="5">
        <v>1</v>
      </c>
      <c r="I3086" s="6" t="s">
        <v>8179</v>
      </c>
      <c r="J3086" s="5">
        <v>540</v>
      </c>
    </row>
    <row r="3087" s="2" customFormat="1" ht="27" spans="1:10">
      <c r="A3087" s="6">
        <f>3085</f>
        <v>3085</v>
      </c>
      <c r="B3087" s="6" t="s">
        <v>8180</v>
      </c>
      <c r="C3087" s="6" t="s">
        <v>12</v>
      </c>
      <c r="D3087" s="6" t="s">
        <v>6677</v>
      </c>
      <c r="E3087" s="6" t="s">
        <v>8151</v>
      </c>
      <c r="F3087" s="6" t="s">
        <v>8181</v>
      </c>
      <c r="G3087" s="6" t="s">
        <v>16</v>
      </c>
      <c r="H3087" s="5">
        <v>4</v>
      </c>
      <c r="I3087" s="6" t="s">
        <v>8182</v>
      </c>
      <c r="J3087" s="5">
        <v>1560</v>
      </c>
    </row>
    <row r="3088" s="2" customFormat="1" spans="1:10">
      <c r="A3088" s="6">
        <f>3086</f>
        <v>3086</v>
      </c>
      <c r="B3088" s="6" t="s">
        <v>8183</v>
      </c>
      <c r="C3088" s="6" t="s">
        <v>12</v>
      </c>
      <c r="D3088" s="6" t="s">
        <v>6677</v>
      </c>
      <c r="E3088" s="6" t="s">
        <v>8151</v>
      </c>
      <c r="F3088" s="6" t="s">
        <v>8184</v>
      </c>
      <c r="G3088" s="6" t="s">
        <v>16</v>
      </c>
      <c r="H3088" s="5">
        <v>1</v>
      </c>
      <c r="I3088" s="6" t="s">
        <v>8184</v>
      </c>
      <c r="J3088" s="5">
        <v>340</v>
      </c>
    </row>
    <row r="3089" s="2" customFormat="1" spans="1:10">
      <c r="A3089" s="6">
        <f>3087</f>
        <v>3087</v>
      </c>
      <c r="B3089" s="6" t="s">
        <v>8185</v>
      </c>
      <c r="C3089" s="6" t="s">
        <v>12</v>
      </c>
      <c r="D3089" s="6" t="s">
        <v>6677</v>
      </c>
      <c r="E3089" s="6" t="s">
        <v>8151</v>
      </c>
      <c r="F3089" s="6" t="s">
        <v>8186</v>
      </c>
      <c r="G3089" s="6" t="s">
        <v>16</v>
      </c>
      <c r="H3089" s="5">
        <v>1</v>
      </c>
      <c r="I3089" s="6" t="s">
        <v>8186</v>
      </c>
      <c r="J3089" s="5">
        <v>460</v>
      </c>
    </row>
    <row r="3090" s="2" customFormat="1" spans="1:10">
      <c r="A3090" s="6">
        <f>3088</f>
        <v>3088</v>
      </c>
      <c r="B3090" s="6" t="s">
        <v>8187</v>
      </c>
      <c r="C3090" s="6" t="s">
        <v>12</v>
      </c>
      <c r="D3090" s="6" t="s">
        <v>6677</v>
      </c>
      <c r="E3090" s="6" t="s">
        <v>8151</v>
      </c>
      <c r="F3090" s="6" t="s">
        <v>8188</v>
      </c>
      <c r="G3090" s="6" t="s">
        <v>16</v>
      </c>
      <c r="H3090" s="5">
        <v>2</v>
      </c>
      <c r="I3090" s="6" t="s">
        <v>8189</v>
      </c>
      <c r="J3090" s="5">
        <v>486</v>
      </c>
    </row>
    <row r="3091" s="2" customFormat="1" spans="1:10">
      <c r="A3091" s="6">
        <f>3089</f>
        <v>3089</v>
      </c>
      <c r="B3091" s="6" t="s">
        <v>8190</v>
      </c>
      <c r="C3091" s="6" t="s">
        <v>12</v>
      </c>
      <c r="D3091" s="6" t="s">
        <v>6677</v>
      </c>
      <c r="E3091" s="6" t="s">
        <v>8151</v>
      </c>
      <c r="F3091" s="6" t="s">
        <v>8191</v>
      </c>
      <c r="G3091" s="6" t="s">
        <v>16</v>
      </c>
      <c r="H3091" s="5">
        <v>1</v>
      </c>
      <c r="I3091" s="6" t="s">
        <v>8191</v>
      </c>
      <c r="J3091" s="5">
        <v>540</v>
      </c>
    </row>
    <row r="3092" s="2" customFormat="1" spans="1:10">
      <c r="A3092" s="6">
        <f>3090</f>
        <v>3090</v>
      </c>
      <c r="B3092" s="6" t="s">
        <v>8192</v>
      </c>
      <c r="C3092" s="6" t="s">
        <v>12</v>
      </c>
      <c r="D3092" s="6" t="s">
        <v>6677</v>
      </c>
      <c r="E3092" s="6" t="s">
        <v>8151</v>
      </c>
      <c r="F3092" s="6" t="s">
        <v>8193</v>
      </c>
      <c r="G3092" s="6" t="s">
        <v>16</v>
      </c>
      <c r="H3092" s="5">
        <v>1</v>
      </c>
      <c r="I3092" s="6" t="s">
        <v>8193</v>
      </c>
      <c r="J3092" s="5">
        <v>540</v>
      </c>
    </row>
    <row r="3093" s="2" customFormat="1" ht="27" spans="1:10">
      <c r="A3093" s="6">
        <f>3091</f>
        <v>3091</v>
      </c>
      <c r="B3093" s="6" t="s">
        <v>8194</v>
      </c>
      <c r="C3093" s="6" t="s">
        <v>12</v>
      </c>
      <c r="D3093" s="6" t="s">
        <v>6677</v>
      </c>
      <c r="E3093" s="6" t="s">
        <v>8151</v>
      </c>
      <c r="F3093" s="6" t="s">
        <v>8195</v>
      </c>
      <c r="G3093" s="6" t="s">
        <v>16</v>
      </c>
      <c r="H3093" s="5">
        <v>4</v>
      </c>
      <c r="I3093" s="6" t="s">
        <v>8196</v>
      </c>
      <c r="J3093" s="5">
        <v>990</v>
      </c>
    </row>
    <row r="3094" s="2" customFormat="1" spans="1:10">
      <c r="A3094" s="6">
        <f>3092</f>
        <v>3092</v>
      </c>
      <c r="B3094" s="6" t="s">
        <v>8197</v>
      </c>
      <c r="C3094" s="6" t="s">
        <v>12</v>
      </c>
      <c r="D3094" s="6" t="s">
        <v>6677</v>
      </c>
      <c r="E3094" s="6" t="s">
        <v>8151</v>
      </c>
      <c r="F3094" s="6" t="s">
        <v>8198</v>
      </c>
      <c r="G3094" s="6" t="s">
        <v>16</v>
      </c>
      <c r="H3094" s="5">
        <v>2</v>
      </c>
      <c r="I3094" s="6" t="s">
        <v>8199</v>
      </c>
      <c r="J3094" s="5">
        <v>760</v>
      </c>
    </row>
    <row r="3095" s="2" customFormat="1" spans="1:10">
      <c r="A3095" s="6">
        <f>3093</f>
        <v>3093</v>
      </c>
      <c r="B3095" s="6" t="s">
        <v>8200</v>
      </c>
      <c r="C3095" s="6" t="s">
        <v>12</v>
      </c>
      <c r="D3095" s="6" t="s">
        <v>6677</v>
      </c>
      <c r="E3095" s="6" t="s">
        <v>8151</v>
      </c>
      <c r="F3095" s="6" t="s">
        <v>8201</v>
      </c>
      <c r="G3095" s="6" t="s">
        <v>16</v>
      </c>
      <c r="H3095" s="5">
        <v>1</v>
      </c>
      <c r="I3095" s="6" t="s">
        <v>8201</v>
      </c>
      <c r="J3095" s="5">
        <v>440</v>
      </c>
    </row>
    <row r="3096" s="2" customFormat="1" spans="1:10">
      <c r="A3096" s="6">
        <f>3094</f>
        <v>3094</v>
      </c>
      <c r="B3096" s="6" t="s">
        <v>8202</v>
      </c>
      <c r="C3096" s="6" t="s">
        <v>12</v>
      </c>
      <c r="D3096" s="6" t="s">
        <v>6677</v>
      </c>
      <c r="E3096" s="6" t="s">
        <v>8151</v>
      </c>
      <c r="F3096" s="6" t="s">
        <v>8203</v>
      </c>
      <c r="G3096" s="6" t="s">
        <v>16</v>
      </c>
      <c r="H3096" s="5">
        <v>1</v>
      </c>
      <c r="I3096" s="6" t="s">
        <v>8203</v>
      </c>
      <c r="J3096" s="5">
        <v>271</v>
      </c>
    </row>
    <row r="3097" s="2" customFormat="1" spans="1:10">
      <c r="A3097" s="6">
        <f>3095</f>
        <v>3095</v>
      </c>
      <c r="B3097" s="6" t="s">
        <v>8204</v>
      </c>
      <c r="C3097" s="6" t="s">
        <v>12</v>
      </c>
      <c r="D3097" s="6" t="s">
        <v>6677</v>
      </c>
      <c r="E3097" s="6" t="s">
        <v>8151</v>
      </c>
      <c r="F3097" s="6" t="s">
        <v>8205</v>
      </c>
      <c r="G3097" s="6" t="s">
        <v>16</v>
      </c>
      <c r="H3097" s="5">
        <v>1</v>
      </c>
      <c r="I3097" s="6" t="s">
        <v>8205</v>
      </c>
      <c r="J3097" s="5">
        <v>263</v>
      </c>
    </row>
    <row r="3098" s="2" customFormat="1" spans="1:10">
      <c r="A3098" s="6">
        <f>3096</f>
        <v>3096</v>
      </c>
      <c r="B3098" s="6" t="s">
        <v>8206</v>
      </c>
      <c r="C3098" s="6" t="s">
        <v>12</v>
      </c>
      <c r="D3098" s="6" t="s">
        <v>6677</v>
      </c>
      <c r="E3098" s="6" t="s">
        <v>8151</v>
      </c>
      <c r="F3098" s="6" t="s">
        <v>8207</v>
      </c>
      <c r="G3098" s="6" t="s">
        <v>16</v>
      </c>
      <c r="H3098" s="5">
        <v>1</v>
      </c>
      <c r="I3098" s="6" t="s">
        <v>8207</v>
      </c>
      <c r="J3098" s="5">
        <v>312</v>
      </c>
    </row>
    <row r="3099" s="2" customFormat="1" spans="1:10">
      <c r="A3099" s="6">
        <f>3097</f>
        <v>3097</v>
      </c>
      <c r="B3099" s="6" t="s">
        <v>8208</v>
      </c>
      <c r="C3099" s="6" t="s">
        <v>12</v>
      </c>
      <c r="D3099" s="6" t="s">
        <v>6677</v>
      </c>
      <c r="E3099" s="6" t="s">
        <v>8151</v>
      </c>
      <c r="F3099" s="6" t="s">
        <v>8209</v>
      </c>
      <c r="G3099" s="6" t="s">
        <v>16</v>
      </c>
      <c r="H3099" s="5">
        <v>1</v>
      </c>
      <c r="I3099" s="6" t="s">
        <v>8209</v>
      </c>
      <c r="J3099" s="5">
        <v>340</v>
      </c>
    </row>
    <row r="3100" s="2" customFormat="1" spans="1:10">
      <c r="A3100" s="6">
        <f>3098</f>
        <v>3098</v>
      </c>
      <c r="B3100" s="6" t="s">
        <v>8210</v>
      </c>
      <c r="C3100" s="6" t="s">
        <v>12</v>
      </c>
      <c r="D3100" s="6" t="s">
        <v>6677</v>
      </c>
      <c r="E3100" s="6" t="s">
        <v>8151</v>
      </c>
      <c r="F3100" s="6" t="s">
        <v>8211</v>
      </c>
      <c r="G3100" s="6" t="s">
        <v>16</v>
      </c>
      <c r="H3100" s="5">
        <v>1</v>
      </c>
      <c r="I3100" s="6" t="s">
        <v>8211</v>
      </c>
      <c r="J3100" s="5">
        <v>500</v>
      </c>
    </row>
    <row r="3101" s="2" customFormat="1" spans="1:10">
      <c r="A3101" s="6">
        <f>3099</f>
        <v>3099</v>
      </c>
      <c r="B3101" s="6" t="s">
        <v>8212</v>
      </c>
      <c r="C3101" s="6" t="s">
        <v>12</v>
      </c>
      <c r="D3101" s="6" t="s">
        <v>6677</v>
      </c>
      <c r="E3101" s="6" t="s">
        <v>8151</v>
      </c>
      <c r="F3101" s="6" t="s">
        <v>8213</v>
      </c>
      <c r="G3101" s="6" t="s">
        <v>16</v>
      </c>
      <c r="H3101" s="5">
        <v>3</v>
      </c>
      <c r="I3101" s="6" t="s">
        <v>8214</v>
      </c>
      <c r="J3101" s="5">
        <v>980</v>
      </c>
    </row>
    <row r="3102" s="2" customFormat="1" spans="1:10">
      <c r="A3102" s="6">
        <f>3100</f>
        <v>3100</v>
      </c>
      <c r="B3102" s="6" t="s">
        <v>8215</v>
      </c>
      <c r="C3102" s="6" t="s">
        <v>12</v>
      </c>
      <c r="D3102" s="6" t="s">
        <v>6677</v>
      </c>
      <c r="E3102" s="6" t="s">
        <v>8151</v>
      </c>
      <c r="F3102" s="6" t="s">
        <v>8216</v>
      </c>
      <c r="G3102" s="6" t="s">
        <v>16</v>
      </c>
      <c r="H3102" s="5">
        <v>1</v>
      </c>
      <c r="I3102" s="6" t="s">
        <v>8216</v>
      </c>
      <c r="J3102" s="5">
        <v>243</v>
      </c>
    </row>
    <row r="3103" s="2" customFormat="1" spans="1:10">
      <c r="A3103" s="6">
        <f>3101</f>
        <v>3101</v>
      </c>
      <c r="B3103" s="6" t="s">
        <v>8217</v>
      </c>
      <c r="C3103" s="6" t="s">
        <v>12</v>
      </c>
      <c r="D3103" s="6" t="s">
        <v>6677</v>
      </c>
      <c r="E3103" s="6" t="s">
        <v>8151</v>
      </c>
      <c r="F3103" s="6" t="s">
        <v>8218</v>
      </c>
      <c r="G3103" s="6" t="s">
        <v>16</v>
      </c>
      <c r="H3103" s="5">
        <v>2</v>
      </c>
      <c r="I3103" s="6" t="s">
        <v>8219</v>
      </c>
      <c r="J3103" s="5">
        <v>500</v>
      </c>
    </row>
    <row r="3104" s="2" customFormat="1" spans="1:10">
      <c r="A3104" s="6">
        <f>3102</f>
        <v>3102</v>
      </c>
      <c r="B3104" s="6" t="s">
        <v>8220</v>
      </c>
      <c r="C3104" s="6" t="s">
        <v>12</v>
      </c>
      <c r="D3104" s="6" t="s">
        <v>6677</v>
      </c>
      <c r="E3104" s="6" t="s">
        <v>8151</v>
      </c>
      <c r="F3104" s="6" t="s">
        <v>8221</v>
      </c>
      <c r="G3104" s="6" t="s">
        <v>16</v>
      </c>
      <c r="H3104" s="5">
        <v>1</v>
      </c>
      <c r="I3104" s="6" t="s">
        <v>8221</v>
      </c>
      <c r="J3104" s="5">
        <v>300</v>
      </c>
    </row>
    <row r="3105" s="2" customFormat="1" spans="1:10">
      <c r="A3105" s="6">
        <f>3103</f>
        <v>3103</v>
      </c>
      <c r="B3105" s="6" t="s">
        <v>8222</v>
      </c>
      <c r="C3105" s="6" t="s">
        <v>12</v>
      </c>
      <c r="D3105" s="6" t="s">
        <v>6677</v>
      </c>
      <c r="E3105" s="6" t="s">
        <v>8151</v>
      </c>
      <c r="F3105" s="6" t="s">
        <v>8223</v>
      </c>
      <c r="G3105" s="6" t="s">
        <v>16</v>
      </c>
      <c r="H3105" s="5">
        <v>1</v>
      </c>
      <c r="I3105" s="6" t="s">
        <v>8223</v>
      </c>
      <c r="J3105" s="5">
        <v>248</v>
      </c>
    </row>
    <row r="3106" s="2" customFormat="1" spans="1:10">
      <c r="A3106" s="6">
        <f>3104</f>
        <v>3104</v>
      </c>
      <c r="B3106" s="6" t="s">
        <v>8224</v>
      </c>
      <c r="C3106" s="6" t="s">
        <v>12</v>
      </c>
      <c r="D3106" s="6" t="s">
        <v>6677</v>
      </c>
      <c r="E3106" s="6" t="s">
        <v>8151</v>
      </c>
      <c r="F3106" s="6" t="s">
        <v>8225</v>
      </c>
      <c r="G3106" s="6" t="s">
        <v>16</v>
      </c>
      <c r="H3106" s="5">
        <v>1</v>
      </c>
      <c r="I3106" s="6" t="s">
        <v>8225</v>
      </c>
      <c r="J3106" s="5">
        <v>360</v>
      </c>
    </row>
    <row r="3107" s="2" customFormat="1" spans="1:10">
      <c r="A3107" s="6">
        <f>3105</f>
        <v>3105</v>
      </c>
      <c r="B3107" s="6" t="s">
        <v>8226</v>
      </c>
      <c r="C3107" s="6" t="s">
        <v>12</v>
      </c>
      <c r="D3107" s="6" t="s">
        <v>6677</v>
      </c>
      <c r="E3107" s="6" t="s">
        <v>8151</v>
      </c>
      <c r="F3107" s="6" t="s">
        <v>4345</v>
      </c>
      <c r="G3107" s="6" t="s">
        <v>16</v>
      </c>
      <c r="H3107" s="5">
        <v>1</v>
      </c>
      <c r="I3107" s="6" t="s">
        <v>4345</v>
      </c>
      <c r="J3107" s="5">
        <v>243</v>
      </c>
    </row>
    <row r="3108" s="2" customFormat="1" spans="1:10">
      <c r="A3108" s="6">
        <f>3106</f>
        <v>3106</v>
      </c>
      <c r="B3108" s="6" t="s">
        <v>8227</v>
      </c>
      <c r="C3108" s="6" t="s">
        <v>12</v>
      </c>
      <c r="D3108" s="6" t="s">
        <v>6677</v>
      </c>
      <c r="E3108" s="6" t="s">
        <v>8151</v>
      </c>
      <c r="F3108" s="6" t="s">
        <v>8228</v>
      </c>
      <c r="G3108" s="6" t="s">
        <v>16</v>
      </c>
      <c r="H3108" s="5">
        <v>1</v>
      </c>
      <c r="I3108" s="6" t="s">
        <v>8228</v>
      </c>
      <c r="J3108" s="5">
        <v>340</v>
      </c>
    </row>
    <row r="3109" s="2" customFormat="1" spans="1:10">
      <c r="A3109" s="6">
        <f>3107</f>
        <v>3107</v>
      </c>
      <c r="B3109" s="6" t="s">
        <v>8229</v>
      </c>
      <c r="C3109" s="6" t="s">
        <v>12</v>
      </c>
      <c r="D3109" s="6" t="s">
        <v>6677</v>
      </c>
      <c r="E3109" s="6" t="s">
        <v>8151</v>
      </c>
      <c r="F3109" s="6" t="s">
        <v>8230</v>
      </c>
      <c r="G3109" s="6" t="s">
        <v>16</v>
      </c>
      <c r="H3109" s="5">
        <v>1</v>
      </c>
      <c r="I3109" s="6" t="s">
        <v>8230</v>
      </c>
      <c r="J3109" s="5">
        <v>256</v>
      </c>
    </row>
    <row r="3110" s="2" customFormat="1" spans="1:10">
      <c r="A3110" s="6">
        <f>3108</f>
        <v>3108</v>
      </c>
      <c r="B3110" s="6" t="s">
        <v>8231</v>
      </c>
      <c r="C3110" s="6" t="s">
        <v>12</v>
      </c>
      <c r="D3110" s="6" t="s">
        <v>6677</v>
      </c>
      <c r="E3110" s="6" t="s">
        <v>8151</v>
      </c>
      <c r="F3110" s="6" t="s">
        <v>8232</v>
      </c>
      <c r="G3110" s="6" t="s">
        <v>16</v>
      </c>
      <c r="H3110" s="5">
        <v>2</v>
      </c>
      <c r="I3110" s="6" t="s">
        <v>8233</v>
      </c>
      <c r="J3110" s="5">
        <v>600</v>
      </c>
    </row>
    <row r="3111" s="2" customFormat="1" spans="1:10">
      <c r="A3111" s="6">
        <f>3109</f>
        <v>3109</v>
      </c>
      <c r="B3111" s="6" t="s">
        <v>8234</v>
      </c>
      <c r="C3111" s="6" t="s">
        <v>12</v>
      </c>
      <c r="D3111" s="6" t="s">
        <v>6677</v>
      </c>
      <c r="E3111" s="6" t="s">
        <v>8151</v>
      </c>
      <c r="F3111" s="6" t="s">
        <v>8235</v>
      </c>
      <c r="G3111" s="6" t="s">
        <v>16</v>
      </c>
      <c r="H3111" s="5">
        <v>1</v>
      </c>
      <c r="I3111" s="6" t="s">
        <v>8235</v>
      </c>
      <c r="J3111" s="5">
        <v>570</v>
      </c>
    </row>
    <row r="3112" s="2" customFormat="1" ht="27" spans="1:10">
      <c r="A3112" s="6">
        <f>3110</f>
        <v>3110</v>
      </c>
      <c r="B3112" s="6" t="s">
        <v>8236</v>
      </c>
      <c r="C3112" s="6" t="s">
        <v>12</v>
      </c>
      <c r="D3112" s="6" t="s">
        <v>6677</v>
      </c>
      <c r="E3112" s="6" t="s">
        <v>8151</v>
      </c>
      <c r="F3112" s="6" t="s">
        <v>8237</v>
      </c>
      <c r="G3112" s="6" t="s">
        <v>16</v>
      </c>
      <c r="H3112" s="5">
        <v>4</v>
      </c>
      <c r="I3112" s="6" t="s">
        <v>8238</v>
      </c>
      <c r="J3112" s="5">
        <v>1360</v>
      </c>
    </row>
    <row r="3113" s="2" customFormat="1" spans="1:10">
      <c r="A3113" s="6">
        <f>3111</f>
        <v>3111</v>
      </c>
      <c r="B3113" s="6" t="s">
        <v>8239</v>
      </c>
      <c r="C3113" s="6" t="s">
        <v>12</v>
      </c>
      <c r="D3113" s="6" t="s">
        <v>6677</v>
      </c>
      <c r="E3113" s="6" t="s">
        <v>8151</v>
      </c>
      <c r="F3113" s="6" t="s">
        <v>8240</v>
      </c>
      <c r="G3113" s="6" t="s">
        <v>16</v>
      </c>
      <c r="H3113" s="5">
        <v>1</v>
      </c>
      <c r="I3113" s="6" t="s">
        <v>8240</v>
      </c>
      <c r="J3113" s="5">
        <v>243</v>
      </c>
    </row>
    <row r="3114" s="2" customFormat="1" spans="1:10">
      <c r="A3114" s="6">
        <f>3112</f>
        <v>3112</v>
      </c>
      <c r="B3114" s="6" t="s">
        <v>8241</v>
      </c>
      <c r="C3114" s="6" t="s">
        <v>12</v>
      </c>
      <c r="D3114" s="6" t="s">
        <v>6677</v>
      </c>
      <c r="E3114" s="6" t="s">
        <v>8151</v>
      </c>
      <c r="F3114" s="6" t="s">
        <v>8242</v>
      </c>
      <c r="G3114" s="6" t="s">
        <v>16</v>
      </c>
      <c r="H3114" s="5">
        <v>2</v>
      </c>
      <c r="I3114" s="6" t="s">
        <v>8243</v>
      </c>
      <c r="J3114" s="5">
        <v>496</v>
      </c>
    </row>
    <row r="3115" s="2" customFormat="1" spans="1:10">
      <c r="A3115" s="6">
        <f>3113</f>
        <v>3113</v>
      </c>
      <c r="B3115" s="6" t="s">
        <v>8244</v>
      </c>
      <c r="C3115" s="6" t="s">
        <v>12</v>
      </c>
      <c r="D3115" s="6" t="s">
        <v>6677</v>
      </c>
      <c r="E3115" s="6" t="s">
        <v>8151</v>
      </c>
      <c r="F3115" s="6" t="s">
        <v>8245</v>
      </c>
      <c r="G3115" s="6" t="s">
        <v>16</v>
      </c>
      <c r="H3115" s="5">
        <v>2</v>
      </c>
      <c r="I3115" s="6" t="s">
        <v>8246</v>
      </c>
      <c r="J3115" s="5">
        <v>1080</v>
      </c>
    </row>
    <row r="3116" s="2" customFormat="1" spans="1:10">
      <c r="A3116" s="6">
        <f>3114</f>
        <v>3114</v>
      </c>
      <c r="B3116" s="6" t="s">
        <v>8247</v>
      </c>
      <c r="C3116" s="6" t="s">
        <v>12</v>
      </c>
      <c r="D3116" s="6" t="s">
        <v>6677</v>
      </c>
      <c r="E3116" s="6" t="s">
        <v>8151</v>
      </c>
      <c r="F3116" s="6" t="s">
        <v>8248</v>
      </c>
      <c r="G3116" s="6" t="s">
        <v>16</v>
      </c>
      <c r="H3116" s="5">
        <v>2</v>
      </c>
      <c r="I3116" s="6" t="s">
        <v>8249</v>
      </c>
      <c r="J3116" s="5">
        <v>480</v>
      </c>
    </row>
    <row r="3117" s="2" customFormat="1" spans="1:10">
      <c r="A3117" s="6">
        <f>3115</f>
        <v>3115</v>
      </c>
      <c r="B3117" s="6" t="s">
        <v>8250</v>
      </c>
      <c r="C3117" s="6" t="s">
        <v>12</v>
      </c>
      <c r="D3117" s="6" t="s">
        <v>6677</v>
      </c>
      <c r="E3117" s="6" t="s">
        <v>8151</v>
      </c>
      <c r="F3117" s="6" t="s">
        <v>8251</v>
      </c>
      <c r="G3117" s="6" t="s">
        <v>16</v>
      </c>
      <c r="H3117" s="5">
        <v>1</v>
      </c>
      <c r="I3117" s="6" t="s">
        <v>8251</v>
      </c>
      <c r="J3117" s="5">
        <v>300</v>
      </c>
    </row>
    <row r="3118" s="2" customFormat="1" spans="1:10">
      <c r="A3118" s="6">
        <f>3116</f>
        <v>3116</v>
      </c>
      <c r="B3118" s="6" t="s">
        <v>8252</v>
      </c>
      <c r="C3118" s="6" t="s">
        <v>12</v>
      </c>
      <c r="D3118" s="6" t="s">
        <v>6677</v>
      </c>
      <c r="E3118" s="6" t="s">
        <v>8151</v>
      </c>
      <c r="F3118" s="6" t="s">
        <v>8253</v>
      </c>
      <c r="G3118" s="6" t="s">
        <v>16</v>
      </c>
      <c r="H3118" s="5">
        <v>3</v>
      </c>
      <c r="I3118" s="6" t="s">
        <v>8254</v>
      </c>
      <c r="J3118" s="5">
        <v>373</v>
      </c>
    </row>
    <row r="3119" s="2" customFormat="1" spans="1:10">
      <c r="A3119" s="6">
        <f>3117</f>
        <v>3117</v>
      </c>
      <c r="B3119" s="6" t="s">
        <v>8255</v>
      </c>
      <c r="C3119" s="6" t="s">
        <v>12</v>
      </c>
      <c r="D3119" s="6" t="s">
        <v>6677</v>
      </c>
      <c r="E3119" s="6" t="s">
        <v>8151</v>
      </c>
      <c r="F3119" s="6" t="s">
        <v>8256</v>
      </c>
      <c r="G3119" s="6" t="s">
        <v>16</v>
      </c>
      <c r="H3119" s="5">
        <v>1</v>
      </c>
      <c r="I3119" s="6" t="s">
        <v>8256</v>
      </c>
      <c r="J3119" s="5">
        <v>243</v>
      </c>
    </row>
    <row r="3120" s="2" customFormat="1" spans="1:10">
      <c r="A3120" s="6">
        <f>3118</f>
        <v>3118</v>
      </c>
      <c r="B3120" s="6" t="s">
        <v>8257</v>
      </c>
      <c r="C3120" s="6" t="s">
        <v>12</v>
      </c>
      <c r="D3120" s="6" t="s">
        <v>6677</v>
      </c>
      <c r="E3120" s="6" t="s">
        <v>8151</v>
      </c>
      <c r="F3120" s="6" t="s">
        <v>8258</v>
      </c>
      <c r="G3120" s="6" t="s">
        <v>16</v>
      </c>
      <c r="H3120" s="5">
        <v>2</v>
      </c>
      <c r="I3120" s="6" t="s">
        <v>8259</v>
      </c>
      <c r="J3120" s="5">
        <v>820</v>
      </c>
    </row>
    <row r="3121" s="2" customFormat="1" spans="1:10">
      <c r="A3121" s="6">
        <f>3119</f>
        <v>3119</v>
      </c>
      <c r="B3121" s="6" t="s">
        <v>8260</v>
      </c>
      <c r="C3121" s="6" t="s">
        <v>12</v>
      </c>
      <c r="D3121" s="6" t="s">
        <v>6677</v>
      </c>
      <c r="E3121" s="6" t="s">
        <v>8151</v>
      </c>
      <c r="F3121" s="6" t="s">
        <v>8261</v>
      </c>
      <c r="G3121" s="6" t="s">
        <v>16</v>
      </c>
      <c r="H3121" s="5">
        <v>3</v>
      </c>
      <c r="I3121" s="6" t="s">
        <v>8262</v>
      </c>
      <c r="J3121" s="5">
        <v>1180</v>
      </c>
    </row>
    <row r="3122" s="2" customFormat="1" ht="27" spans="1:10">
      <c r="A3122" s="6">
        <f>3120</f>
        <v>3120</v>
      </c>
      <c r="B3122" s="6" t="s">
        <v>8263</v>
      </c>
      <c r="C3122" s="6" t="s">
        <v>12</v>
      </c>
      <c r="D3122" s="6" t="s">
        <v>6677</v>
      </c>
      <c r="E3122" s="6" t="s">
        <v>8151</v>
      </c>
      <c r="F3122" s="6" t="s">
        <v>8264</v>
      </c>
      <c r="G3122" s="6" t="s">
        <v>16</v>
      </c>
      <c r="H3122" s="5">
        <v>4</v>
      </c>
      <c r="I3122" s="6" t="s">
        <v>8265</v>
      </c>
      <c r="J3122" s="5">
        <v>740</v>
      </c>
    </row>
    <row r="3123" s="2" customFormat="1" spans="1:10">
      <c r="A3123" s="6">
        <f>3121</f>
        <v>3121</v>
      </c>
      <c r="B3123" s="6" t="s">
        <v>8266</v>
      </c>
      <c r="C3123" s="6" t="s">
        <v>12</v>
      </c>
      <c r="D3123" s="6" t="s">
        <v>6677</v>
      </c>
      <c r="E3123" s="6" t="s">
        <v>8151</v>
      </c>
      <c r="F3123" s="6" t="s">
        <v>8267</v>
      </c>
      <c r="G3123" s="6" t="s">
        <v>16</v>
      </c>
      <c r="H3123" s="5">
        <v>1</v>
      </c>
      <c r="I3123" s="6" t="s">
        <v>8267</v>
      </c>
      <c r="J3123" s="5">
        <v>245</v>
      </c>
    </row>
    <row r="3124" s="2" customFormat="1" spans="1:10">
      <c r="A3124" s="6">
        <f>3122</f>
        <v>3122</v>
      </c>
      <c r="B3124" s="6" t="s">
        <v>8268</v>
      </c>
      <c r="C3124" s="6" t="s">
        <v>12</v>
      </c>
      <c r="D3124" s="6" t="s">
        <v>6677</v>
      </c>
      <c r="E3124" s="6" t="s">
        <v>8151</v>
      </c>
      <c r="F3124" s="6" t="s">
        <v>8269</v>
      </c>
      <c r="G3124" s="6" t="s">
        <v>16</v>
      </c>
      <c r="H3124" s="5">
        <v>1</v>
      </c>
      <c r="I3124" s="6" t="s">
        <v>8269</v>
      </c>
      <c r="J3124" s="5">
        <v>245</v>
      </c>
    </row>
    <row r="3125" s="2" customFormat="1" spans="1:10">
      <c r="A3125" s="6">
        <f>3123</f>
        <v>3123</v>
      </c>
      <c r="B3125" s="6" t="s">
        <v>8270</v>
      </c>
      <c r="C3125" s="6" t="s">
        <v>12</v>
      </c>
      <c r="D3125" s="6" t="s">
        <v>6677</v>
      </c>
      <c r="E3125" s="6" t="s">
        <v>8151</v>
      </c>
      <c r="F3125" s="6" t="s">
        <v>8271</v>
      </c>
      <c r="G3125" s="6" t="s">
        <v>16</v>
      </c>
      <c r="H3125" s="5">
        <v>1</v>
      </c>
      <c r="I3125" s="6" t="s">
        <v>8271</v>
      </c>
      <c r="J3125" s="5">
        <v>300</v>
      </c>
    </row>
    <row r="3126" s="2" customFormat="1" spans="1:10">
      <c r="A3126" s="6">
        <f>3124</f>
        <v>3124</v>
      </c>
      <c r="B3126" s="6" t="s">
        <v>8272</v>
      </c>
      <c r="C3126" s="6" t="s">
        <v>12</v>
      </c>
      <c r="D3126" s="6" t="s">
        <v>6677</v>
      </c>
      <c r="E3126" s="6" t="s">
        <v>8151</v>
      </c>
      <c r="F3126" s="6" t="s">
        <v>8273</v>
      </c>
      <c r="G3126" s="6" t="s">
        <v>16</v>
      </c>
      <c r="H3126" s="5">
        <v>2</v>
      </c>
      <c r="I3126" s="6" t="s">
        <v>8274</v>
      </c>
      <c r="J3126" s="5">
        <v>470</v>
      </c>
    </row>
    <row r="3127" s="2" customFormat="1" spans="1:10">
      <c r="A3127" s="6">
        <f>3125</f>
        <v>3125</v>
      </c>
      <c r="B3127" s="6" t="s">
        <v>8275</v>
      </c>
      <c r="C3127" s="6" t="s">
        <v>12</v>
      </c>
      <c r="D3127" s="6" t="s">
        <v>6677</v>
      </c>
      <c r="E3127" s="6" t="s">
        <v>8151</v>
      </c>
      <c r="F3127" s="6" t="s">
        <v>8276</v>
      </c>
      <c r="G3127" s="6" t="s">
        <v>16</v>
      </c>
      <c r="H3127" s="5">
        <v>1</v>
      </c>
      <c r="I3127" s="6" t="s">
        <v>8276</v>
      </c>
      <c r="J3127" s="5">
        <v>360</v>
      </c>
    </row>
    <row r="3128" s="2" customFormat="1" spans="1:10">
      <c r="A3128" s="6">
        <f>3126</f>
        <v>3126</v>
      </c>
      <c r="B3128" s="6" t="s">
        <v>8277</v>
      </c>
      <c r="C3128" s="6" t="s">
        <v>12</v>
      </c>
      <c r="D3128" s="6" t="s">
        <v>6677</v>
      </c>
      <c r="E3128" s="6" t="s">
        <v>8151</v>
      </c>
      <c r="F3128" s="6" t="s">
        <v>8048</v>
      </c>
      <c r="G3128" s="6" t="s">
        <v>16</v>
      </c>
      <c r="H3128" s="5">
        <v>3</v>
      </c>
      <c r="I3128" s="6" t="s">
        <v>8278</v>
      </c>
      <c r="J3128" s="5">
        <v>1080</v>
      </c>
    </row>
    <row r="3129" s="2" customFormat="1" spans="1:10">
      <c r="A3129" s="6">
        <f>3127</f>
        <v>3127</v>
      </c>
      <c r="B3129" s="6" t="s">
        <v>8279</v>
      </c>
      <c r="C3129" s="6" t="s">
        <v>12</v>
      </c>
      <c r="D3129" s="6" t="s">
        <v>6677</v>
      </c>
      <c r="E3129" s="6" t="s">
        <v>8151</v>
      </c>
      <c r="F3129" s="6" t="s">
        <v>8280</v>
      </c>
      <c r="G3129" s="6" t="s">
        <v>16</v>
      </c>
      <c r="H3129" s="5">
        <v>1</v>
      </c>
      <c r="I3129" s="6" t="s">
        <v>8280</v>
      </c>
      <c r="J3129" s="5">
        <v>273</v>
      </c>
    </row>
    <row r="3130" s="2" customFormat="1" spans="1:10">
      <c r="A3130" s="6">
        <f>3128</f>
        <v>3128</v>
      </c>
      <c r="B3130" s="6" t="s">
        <v>8281</v>
      </c>
      <c r="C3130" s="6" t="s">
        <v>12</v>
      </c>
      <c r="D3130" s="6" t="s">
        <v>6677</v>
      </c>
      <c r="E3130" s="6" t="s">
        <v>8151</v>
      </c>
      <c r="F3130" s="6" t="s">
        <v>8282</v>
      </c>
      <c r="G3130" s="6" t="s">
        <v>16</v>
      </c>
      <c r="H3130" s="5">
        <v>1</v>
      </c>
      <c r="I3130" s="6" t="s">
        <v>8282</v>
      </c>
      <c r="J3130" s="5">
        <v>540</v>
      </c>
    </row>
    <row r="3131" s="2" customFormat="1" spans="1:10">
      <c r="A3131" s="6">
        <f>3129</f>
        <v>3129</v>
      </c>
      <c r="B3131" s="6" t="s">
        <v>8283</v>
      </c>
      <c r="C3131" s="6" t="s">
        <v>12</v>
      </c>
      <c r="D3131" s="6" t="s">
        <v>6677</v>
      </c>
      <c r="E3131" s="6" t="s">
        <v>8151</v>
      </c>
      <c r="F3131" s="6" t="s">
        <v>8284</v>
      </c>
      <c r="G3131" s="6" t="s">
        <v>16</v>
      </c>
      <c r="H3131" s="5">
        <v>1</v>
      </c>
      <c r="I3131" s="6" t="s">
        <v>8284</v>
      </c>
      <c r="J3131" s="5">
        <v>243</v>
      </c>
    </row>
    <row r="3132" s="2" customFormat="1" spans="1:10">
      <c r="A3132" s="6">
        <f>3130</f>
        <v>3130</v>
      </c>
      <c r="B3132" s="6" t="s">
        <v>8285</v>
      </c>
      <c r="C3132" s="6" t="s">
        <v>12</v>
      </c>
      <c r="D3132" s="6" t="s">
        <v>6677</v>
      </c>
      <c r="E3132" s="6" t="s">
        <v>8151</v>
      </c>
      <c r="F3132" s="6" t="s">
        <v>8286</v>
      </c>
      <c r="G3132" s="6" t="s">
        <v>16</v>
      </c>
      <c r="H3132" s="5">
        <v>1</v>
      </c>
      <c r="I3132" s="6" t="s">
        <v>8286</v>
      </c>
      <c r="J3132" s="5">
        <v>243</v>
      </c>
    </row>
    <row r="3133" s="2" customFormat="1" spans="1:10">
      <c r="A3133" s="6">
        <f>3131</f>
        <v>3131</v>
      </c>
      <c r="B3133" s="6" t="s">
        <v>8287</v>
      </c>
      <c r="C3133" s="6" t="s">
        <v>12</v>
      </c>
      <c r="D3133" s="6" t="s">
        <v>6677</v>
      </c>
      <c r="E3133" s="6" t="s">
        <v>8151</v>
      </c>
      <c r="F3133" s="6" t="s">
        <v>8288</v>
      </c>
      <c r="G3133" s="6" t="s">
        <v>16</v>
      </c>
      <c r="H3133" s="5">
        <v>1</v>
      </c>
      <c r="I3133" s="6" t="s">
        <v>8288</v>
      </c>
      <c r="J3133" s="5">
        <v>243</v>
      </c>
    </row>
    <row r="3134" s="2" customFormat="1" ht="27" spans="1:10">
      <c r="A3134" s="6">
        <f>3132</f>
        <v>3132</v>
      </c>
      <c r="B3134" s="6" t="s">
        <v>8289</v>
      </c>
      <c r="C3134" s="6" t="s">
        <v>12</v>
      </c>
      <c r="D3134" s="6" t="s">
        <v>6677</v>
      </c>
      <c r="E3134" s="6" t="s">
        <v>8151</v>
      </c>
      <c r="F3134" s="6" t="s">
        <v>8290</v>
      </c>
      <c r="G3134" s="6" t="s">
        <v>16</v>
      </c>
      <c r="H3134" s="5">
        <v>5</v>
      </c>
      <c r="I3134" s="6" t="s">
        <v>8291</v>
      </c>
      <c r="J3134" s="5">
        <v>600</v>
      </c>
    </row>
    <row r="3135" s="2" customFormat="1" spans="1:10">
      <c r="A3135" s="6">
        <f>3133</f>
        <v>3133</v>
      </c>
      <c r="B3135" s="6" t="s">
        <v>8292</v>
      </c>
      <c r="C3135" s="6" t="s">
        <v>12</v>
      </c>
      <c r="D3135" s="6" t="s">
        <v>6677</v>
      </c>
      <c r="E3135" s="6" t="s">
        <v>8151</v>
      </c>
      <c r="F3135" s="6" t="s">
        <v>8293</v>
      </c>
      <c r="G3135" s="6" t="s">
        <v>16</v>
      </c>
      <c r="H3135" s="5">
        <v>1</v>
      </c>
      <c r="I3135" s="6" t="s">
        <v>8293</v>
      </c>
      <c r="J3135" s="5">
        <v>235</v>
      </c>
    </row>
    <row r="3136" s="2" customFormat="1" spans="1:10">
      <c r="A3136" s="6">
        <f>3134</f>
        <v>3134</v>
      </c>
      <c r="B3136" s="6" t="s">
        <v>8294</v>
      </c>
      <c r="C3136" s="6" t="s">
        <v>12</v>
      </c>
      <c r="D3136" s="6" t="s">
        <v>6677</v>
      </c>
      <c r="E3136" s="6" t="s">
        <v>8151</v>
      </c>
      <c r="F3136" s="6" t="s">
        <v>8295</v>
      </c>
      <c r="G3136" s="6" t="s">
        <v>16</v>
      </c>
      <c r="H3136" s="5">
        <v>2</v>
      </c>
      <c r="I3136" s="6" t="s">
        <v>8296</v>
      </c>
      <c r="J3136" s="5">
        <v>486</v>
      </c>
    </row>
    <row r="3137" s="2" customFormat="1" spans="1:10">
      <c r="A3137" s="6">
        <f>3135</f>
        <v>3135</v>
      </c>
      <c r="B3137" s="6" t="s">
        <v>8297</v>
      </c>
      <c r="C3137" s="6" t="s">
        <v>12</v>
      </c>
      <c r="D3137" s="6" t="s">
        <v>6677</v>
      </c>
      <c r="E3137" s="6" t="s">
        <v>8151</v>
      </c>
      <c r="F3137" s="6" t="s">
        <v>8298</v>
      </c>
      <c r="G3137" s="6" t="s">
        <v>16</v>
      </c>
      <c r="H3137" s="5">
        <v>2</v>
      </c>
      <c r="I3137" s="6" t="s">
        <v>8299</v>
      </c>
      <c r="J3137" s="5">
        <v>1240</v>
      </c>
    </row>
    <row r="3138" s="2" customFormat="1" spans="1:10">
      <c r="A3138" s="6">
        <f>3136</f>
        <v>3136</v>
      </c>
      <c r="B3138" s="6" t="s">
        <v>8300</v>
      </c>
      <c r="C3138" s="6" t="s">
        <v>12</v>
      </c>
      <c r="D3138" s="6" t="s">
        <v>6677</v>
      </c>
      <c r="E3138" s="6" t="s">
        <v>8151</v>
      </c>
      <c r="F3138" s="6" t="s">
        <v>8301</v>
      </c>
      <c r="G3138" s="6" t="s">
        <v>16</v>
      </c>
      <c r="H3138" s="5">
        <v>1</v>
      </c>
      <c r="I3138" s="6" t="s">
        <v>8301</v>
      </c>
      <c r="J3138" s="5">
        <v>271</v>
      </c>
    </row>
    <row r="3139" s="2" customFormat="1" spans="1:10">
      <c r="A3139" s="6">
        <f>3137</f>
        <v>3137</v>
      </c>
      <c r="B3139" s="6" t="s">
        <v>8302</v>
      </c>
      <c r="C3139" s="6" t="s">
        <v>12</v>
      </c>
      <c r="D3139" s="6" t="s">
        <v>6677</v>
      </c>
      <c r="E3139" s="6" t="s">
        <v>8151</v>
      </c>
      <c r="F3139" s="6" t="s">
        <v>8303</v>
      </c>
      <c r="G3139" s="6" t="s">
        <v>16</v>
      </c>
      <c r="H3139" s="5">
        <v>1</v>
      </c>
      <c r="I3139" s="6" t="s">
        <v>8303</v>
      </c>
      <c r="J3139" s="5">
        <v>243</v>
      </c>
    </row>
    <row r="3140" s="2" customFormat="1" spans="1:10">
      <c r="A3140" s="6">
        <f>3138</f>
        <v>3138</v>
      </c>
      <c r="B3140" s="6" t="s">
        <v>8304</v>
      </c>
      <c r="C3140" s="6" t="s">
        <v>12</v>
      </c>
      <c r="D3140" s="6" t="s">
        <v>6677</v>
      </c>
      <c r="E3140" s="6" t="s">
        <v>8151</v>
      </c>
      <c r="F3140" s="6" t="s">
        <v>8305</v>
      </c>
      <c r="G3140" s="6" t="s">
        <v>16</v>
      </c>
      <c r="H3140" s="5">
        <v>1</v>
      </c>
      <c r="I3140" s="6" t="s">
        <v>8305</v>
      </c>
      <c r="J3140" s="5">
        <v>570</v>
      </c>
    </row>
    <row r="3141" s="2" customFormat="1" spans="1:10">
      <c r="A3141" s="6">
        <f>3139</f>
        <v>3139</v>
      </c>
      <c r="B3141" s="6" t="s">
        <v>8306</v>
      </c>
      <c r="C3141" s="6" t="s">
        <v>12</v>
      </c>
      <c r="D3141" s="6" t="s">
        <v>6677</v>
      </c>
      <c r="E3141" s="6" t="s">
        <v>8151</v>
      </c>
      <c r="F3141" s="6" t="s">
        <v>8307</v>
      </c>
      <c r="G3141" s="6" t="s">
        <v>16</v>
      </c>
      <c r="H3141" s="5">
        <v>1</v>
      </c>
      <c r="I3141" s="6" t="s">
        <v>8307</v>
      </c>
      <c r="J3141" s="5">
        <v>240</v>
      </c>
    </row>
    <row r="3142" s="2" customFormat="1" spans="1:10">
      <c r="A3142" s="6">
        <f>3140</f>
        <v>3140</v>
      </c>
      <c r="B3142" s="6" t="s">
        <v>8308</v>
      </c>
      <c r="C3142" s="6" t="s">
        <v>12</v>
      </c>
      <c r="D3142" s="6" t="s">
        <v>6677</v>
      </c>
      <c r="E3142" s="6" t="s">
        <v>8151</v>
      </c>
      <c r="F3142" s="6" t="s">
        <v>8309</v>
      </c>
      <c r="G3142" s="6" t="s">
        <v>16</v>
      </c>
      <c r="H3142" s="5">
        <v>2</v>
      </c>
      <c r="I3142" s="6" t="s">
        <v>8310</v>
      </c>
      <c r="J3142" s="5">
        <v>1000</v>
      </c>
    </row>
    <row r="3143" s="2" customFormat="1" spans="1:10">
      <c r="A3143" s="6">
        <f>3141</f>
        <v>3141</v>
      </c>
      <c r="B3143" s="6" t="s">
        <v>8311</v>
      </c>
      <c r="C3143" s="6" t="s">
        <v>12</v>
      </c>
      <c r="D3143" s="6" t="s">
        <v>6677</v>
      </c>
      <c r="E3143" s="6" t="s">
        <v>8151</v>
      </c>
      <c r="F3143" s="6" t="s">
        <v>8312</v>
      </c>
      <c r="G3143" s="6" t="s">
        <v>16</v>
      </c>
      <c r="H3143" s="5">
        <v>1</v>
      </c>
      <c r="I3143" s="6" t="s">
        <v>8312</v>
      </c>
      <c r="J3143" s="5">
        <v>360</v>
      </c>
    </row>
    <row r="3144" s="2" customFormat="1" ht="27" spans="1:10">
      <c r="A3144" s="6">
        <f>3142</f>
        <v>3142</v>
      </c>
      <c r="B3144" s="6" t="s">
        <v>8313</v>
      </c>
      <c r="C3144" s="6" t="s">
        <v>12</v>
      </c>
      <c r="D3144" s="6" t="s">
        <v>6677</v>
      </c>
      <c r="E3144" s="6" t="s">
        <v>8151</v>
      </c>
      <c r="F3144" s="6" t="s">
        <v>8314</v>
      </c>
      <c r="G3144" s="6" t="s">
        <v>16</v>
      </c>
      <c r="H3144" s="5">
        <v>4</v>
      </c>
      <c r="I3144" s="6" t="s">
        <v>8315</v>
      </c>
      <c r="J3144" s="5">
        <v>695</v>
      </c>
    </row>
    <row r="3145" s="2" customFormat="1" spans="1:10">
      <c r="A3145" s="6">
        <f>3143</f>
        <v>3143</v>
      </c>
      <c r="B3145" s="6" t="s">
        <v>8316</v>
      </c>
      <c r="C3145" s="6" t="s">
        <v>12</v>
      </c>
      <c r="D3145" s="6" t="s">
        <v>6677</v>
      </c>
      <c r="E3145" s="6" t="s">
        <v>8151</v>
      </c>
      <c r="F3145" s="6" t="s">
        <v>8317</v>
      </c>
      <c r="G3145" s="6" t="s">
        <v>16</v>
      </c>
      <c r="H3145" s="5">
        <v>1</v>
      </c>
      <c r="I3145" s="6" t="s">
        <v>8317</v>
      </c>
      <c r="J3145" s="5">
        <v>253</v>
      </c>
    </row>
    <row r="3146" s="2" customFormat="1" ht="27" spans="1:10">
      <c r="A3146" s="6">
        <f>3144</f>
        <v>3144</v>
      </c>
      <c r="B3146" s="6" t="s">
        <v>8318</v>
      </c>
      <c r="C3146" s="6" t="s">
        <v>12</v>
      </c>
      <c r="D3146" s="6" t="s">
        <v>6677</v>
      </c>
      <c r="E3146" s="6" t="s">
        <v>8151</v>
      </c>
      <c r="F3146" s="6" t="s">
        <v>8319</v>
      </c>
      <c r="G3146" s="6" t="s">
        <v>16</v>
      </c>
      <c r="H3146" s="5">
        <v>6</v>
      </c>
      <c r="I3146" s="6" t="s">
        <v>8320</v>
      </c>
      <c r="J3146" s="5">
        <v>1060</v>
      </c>
    </row>
    <row r="3147" s="2" customFormat="1" spans="1:10">
      <c r="A3147" s="6">
        <f>3145</f>
        <v>3145</v>
      </c>
      <c r="B3147" s="6" t="s">
        <v>8321</v>
      </c>
      <c r="C3147" s="6" t="s">
        <v>12</v>
      </c>
      <c r="D3147" s="6" t="s">
        <v>6677</v>
      </c>
      <c r="E3147" s="6" t="s">
        <v>8151</v>
      </c>
      <c r="F3147" s="6" t="s">
        <v>8322</v>
      </c>
      <c r="G3147" s="6" t="s">
        <v>16</v>
      </c>
      <c r="H3147" s="5">
        <v>1</v>
      </c>
      <c r="I3147" s="6" t="s">
        <v>8322</v>
      </c>
      <c r="J3147" s="5">
        <v>341</v>
      </c>
    </row>
    <row r="3148" s="2" customFormat="1" spans="1:10">
      <c r="A3148" s="6">
        <f>3146</f>
        <v>3146</v>
      </c>
      <c r="B3148" s="6" t="s">
        <v>8323</v>
      </c>
      <c r="C3148" s="6" t="s">
        <v>12</v>
      </c>
      <c r="D3148" s="6" t="s">
        <v>6677</v>
      </c>
      <c r="E3148" s="6" t="s">
        <v>8151</v>
      </c>
      <c r="F3148" s="6" t="s">
        <v>8324</v>
      </c>
      <c r="G3148" s="6" t="s">
        <v>16</v>
      </c>
      <c r="H3148" s="5">
        <v>2</v>
      </c>
      <c r="I3148" s="6" t="s">
        <v>8325</v>
      </c>
      <c r="J3148" s="5">
        <v>596</v>
      </c>
    </row>
    <row r="3149" s="2" customFormat="1" spans="1:10">
      <c r="A3149" s="6">
        <f>3147</f>
        <v>3147</v>
      </c>
      <c r="B3149" s="6" t="s">
        <v>8326</v>
      </c>
      <c r="C3149" s="6" t="s">
        <v>12</v>
      </c>
      <c r="D3149" s="6" t="s">
        <v>6677</v>
      </c>
      <c r="E3149" s="6" t="s">
        <v>8151</v>
      </c>
      <c r="F3149" s="6" t="s">
        <v>8327</v>
      </c>
      <c r="G3149" s="6" t="s">
        <v>16</v>
      </c>
      <c r="H3149" s="5">
        <v>3</v>
      </c>
      <c r="I3149" s="6" t="s">
        <v>8328</v>
      </c>
      <c r="J3149" s="5">
        <v>1220</v>
      </c>
    </row>
    <row r="3150" s="2" customFormat="1" ht="27" spans="1:10">
      <c r="A3150" s="6">
        <f>3148</f>
        <v>3148</v>
      </c>
      <c r="B3150" s="6" t="s">
        <v>8329</v>
      </c>
      <c r="C3150" s="6" t="s">
        <v>12</v>
      </c>
      <c r="D3150" s="6" t="s">
        <v>6677</v>
      </c>
      <c r="E3150" s="6" t="s">
        <v>8151</v>
      </c>
      <c r="F3150" s="6" t="s">
        <v>8330</v>
      </c>
      <c r="G3150" s="6" t="s">
        <v>16</v>
      </c>
      <c r="H3150" s="5">
        <v>4</v>
      </c>
      <c r="I3150" s="6" t="s">
        <v>8331</v>
      </c>
      <c r="J3150" s="5">
        <v>540</v>
      </c>
    </row>
    <row r="3151" s="2" customFormat="1" spans="1:10">
      <c r="A3151" s="6">
        <f>3149</f>
        <v>3149</v>
      </c>
      <c r="B3151" s="6" t="s">
        <v>8332</v>
      </c>
      <c r="C3151" s="6" t="s">
        <v>12</v>
      </c>
      <c r="D3151" s="6" t="s">
        <v>6677</v>
      </c>
      <c r="E3151" s="6" t="s">
        <v>8151</v>
      </c>
      <c r="F3151" s="6" t="s">
        <v>8333</v>
      </c>
      <c r="G3151" s="6" t="s">
        <v>16</v>
      </c>
      <c r="H3151" s="5">
        <v>1</v>
      </c>
      <c r="I3151" s="6" t="s">
        <v>8333</v>
      </c>
      <c r="J3151" s="5">
        <v>255</v>
      </c>
    </row>
    <row r="3152" s="2" customFormat="1" ht="27" spans="1:10">
      <c r="A3152" s="6">
        <f>3150</f>
        <v>3150</v>
      </c>
      <c r="B3152" s="6" t="s">
        <v>8334</v>
      </c>
      <c r="C3152" s="6" t="s">
        <v>12</v>
      </c>
      <c r="D3152" s="6" t="s">
        <v>6677</v>
      </c>
      <c r="E3152" s="6" t="s">
        <v>8151</v>
      </c>
      <c r="F3152" s="6" t="s">
        <v>8335</v>
      </c>
      <c r="G3152" s="6" t="s">
        <v>16</v>
      </c>
      <c r="H3152" s="5">
        <v>4</v>
      </c>
      <c r="I3152" s="6" t="s">
        <v>8336</v>
      </c>
      <c r="J3152" s="5">
        <v>1440</v>
      </c>
    </row>
    <row r="3153" s="2" customFormat="1" spans="1:10">
      <c r="A3153" s="6">
        <f>3151</f>
        <v>3151</v>
      </c>
      <c r="B3153" s="6" t="s">
        <v>8337</v>
      </c>
      <c r="C3153" s="6" t="s">
        <v>12</v>
      </c>
      <c r="D3153" s="6" t="s">
        <v>6677</v>
      </c>
      <c r="E3153" s="6" t="s">
        <v>8151</v>
      </c>
      <c r="F3153" s="6" t="s">
        <v>8338</v>
      </c>
      <c r="G3153" s="6" t="s">
        <v>16</v>
      </c>
      <c r="H3153" s="5">
        <v>3</v>
      </c>
      <c r="I3153" s="6" t="s">
        <v>8339</v>
      </c>
      <c r="J3153" s="5">
        <v>1320</v>
      </c>
    </row>
    <row r="3154" s="2" customFormat="1" spans="1:10">
      <c r="A3154" s="6">
        <f>3152</f>
        <v>3152</v>
      </c>
      <c r="B3154" s="6" t="s">
        <v>8340</v>
      </c>
      <c r="C3154" s="6" t="s">
        <v>12</v>
      </c>
      <c r="D3154" s="6" t="s">
        <v>6677</v>
      </c>
      <c r="E3154" s="6" t="s">
        <v>8151</v>
      </c>
      <c r="F3154" s="6" t="s">
        <v>8341</v>
      </c>
      <c r="G3154" s="6" t="s">
        <v>16</v>
      </c>
      <c r="H3154" s="5">
        <v>1</v>
      </c>
      <c r="I3154" s="6" t="s">
        <v>8341</v>
      </c>
      <c r="J3154" s="5">
        <v>290</v>
      </c>
    </row>
    <row r="3155" s="2" customFormat="1" ht="27" spans="1:10">
      <c r="A3155" s="6">
        <f>3153</f>
        <v>3153</v>
      </c>
      <c r="B3155" s="6" t="s">
        <v>8342</v>
      </c>
      <c r="C3155" s="6" t="s">
        <v>12</v>
      </c>
      <c r="D3155" s="6" t="s">
        <v>6677</v>
      </c>
      <c r="E3155" s="6" t="s">
        <v>8151</v>
      </c>
      <c r="F3155" s="6" t="s">
        <v>8343</v>
      </c>
      <c r="G3155" s="6" t="s">
        <v>16</v>
      </c>
      <c r="H3155" s="5">
        <v>5</v>
      </c>
      <c r="I3155" s="6" t="s">
        <v>8344</v>
      </c>
      <c r="J3155" s="5">
        <v>2800</v>
      </c>
    </row>
    <row r="3156" s="2" customFormat="1" ht="27" spans="1:10">
      <c r="A3156" s="6">
        <f>3154</f>
        <v>3154</v>
      </c>
      <c r="B3156" s="6" t="s">
        <v>8345</v>
      </c>
      <c r="C3156" s="6" t="s">
        <v>12</v>
      </c>
      <c r="D3156" s="6" t="s">
        <v>6677</v>
      </c>
      <c r="E3156" s="6" t="s">
        <v>8151</v>
      </c>
      <c r="F3156" s="6" t="s">
        <v>8346</v>
      </c>
      <c r="G3156" s="6" t="s">
        <v>16</v>
      </c>
      <c r="H3156" s="5">
        <v>4</v>
      </c>
      <c r="I3156" s="6" t="s">
        <v>8347</v>
      </c>
      <c r="J3156" s="5">
        <v>2140</v>
      </c>
    </row>
    <row r="3157" s="2" customFormat="1" spans="1:10">
      <c r="A3157" s="6">
        <f>3155</f>
        <v>3155</v>
      </c>
      <c r="B3157" s="6" t="s">
        <v>8348</v>
      </c>
      <c r="C3157" s="6" t="s">
        <v>12</v>
      </c>
      <c r="D3157" s="6" t="s">
        <v>6677</v>
      </c>
      <c r="E3157" s="6" t="s">
        <v>8151</v>
      </c>
      <c r="F3157" s="6" t="s">
        <v>8349</v>
      </c>
      <c r="G3157" s="6" t="s">
        <v>16</v>
      </c>
      <c r="H3157" s="5">
        <v>1</v>
      </c>
      <c r="I3157" s="6" t="s">
        <v>8349</v>
      </c>
      <c r="J3157" s="5">
        <v>245</v>
      </c>
    </row>
    <row r="3158" s="2" customFormat="1" ht="27" spans="1:10">
      <c r="A3158" s="6">
        <f>3156</f>
        <v>3156</v>
      </c>
      <c r="B3158" s="6" t="s">
        <v>8350</v>
      </c>
      <c r="C3158" s="6" t="s">
        <v>12</v>
      </c>
      <c r="D3158" s="6" t="s">
        <v>6677</v>
      </c>
      <c r="E3158" s="6" t="s">
        <v>8151</v>
      </c>
      <c r="F3158" s="6" t="s">
        <v>8351</v>
      </c>
      <c r="G3158" s="6" t="s">
        <v>16</v>
      </c>
      <c r="H3158" s="5">
        <v>4</v>
      </c>
      <c r="I3158" s="6" t="s">
        <v>8352</v>
      </c>
      <c r="J3158" s="5">
        <v>1360</v>
      </c>
    </row>
    <row r="3159" s="2" customFormat="1" spans="1:10">
      <c r="A3159" s="6">
        <f>3157</f>
        <v>3157</v>
      </c>
      <c r="B3159" s="6" t="s">
        <v>8353</v>
      </c>
      <c r="C3159" s="6" t="s">
        <v>12</v>
      </c>
      <c r="D3159" s="6" t="s">
        <v>6677</v>
      </c>
      <c r="E3159" s="6" t="s">
        <v>8151</v>
      </c>
      <c r="F3159" s="6" t="s">
        <v>8354</v>
      </c>
      <c r="G3159" s="6" t="s">
        <v>16</v>
      </c>
      <c r="H3159" s="5">
        <v>3</v>
      </c>
      <c r="I3159" s="6" t="s">
        <v>8355</v>
      </c>
      <c r="J3159" s="5">
        <v>1300</v>
      </c>
    </row>
    <row r="3160" s="2" customFormat="1" ht="27" spans="1:10">
      <c r="A3160" s="6">
        <f>3158</f>
        <v>3158</v>
      </c>
      <c r="B3160" s="6" t="s">
        <v>8356</v>
      </c>
      <c r="C3160" s="6" t="s">
        <v>12</v>
      </c>
      <c r="D3160" s="6" t="s">
        <v>6677</v>
      </c>
      <c r="E3160" s="6" t="s">
        <v>8151</v>
      </c>
      <c r="F3160" s="6" t="s">
        <v>8357</v>
      </c>
      <c r="G3160" s="6" t="s">
        <v>16</v>
      </c>
      <c r="H3160" s="5">
        <v>4</v>
      </c>
      <c r="I3160" s="6" t="s">
        <v>8358</v>
      </c>
      <c r="J3160" s="5">
        <v>740</v>
      </c>
    </row>
    <row r="3161" s="2" customFormat="1" spans="1:10">
      <c r="A3161" s="6">
        <f>3159</f>
        <v>3159</v>
      </c>
      <c r="B3161" s="6" t="s">
        <v>8359</v>
      </c>
      <c r="C3161" s="6" t="s">
        <v>12</v>
      </c>
      <c r="D3161" s="6" t="s">
        <v>6677</v>
      </c>
      <c r="E3161" s="6" t="s">
        <v>8151</v>
      </c>
      <c r="F3161" s="6" t="s">
        <v>8360</v>
      </c>
      <c r="G3161" s="6" t="s">
        <v>16</v>
      </c>
      <c r="H3161" s="5">
        <v>2</v>
      </c>
      <c r="I3161" s="6" t="s">
        <v>8361</v>
      </c>
      <c r="J3161" s="5">
        <v>486</v>
      </c>
    </row>
    <row r="3162" s="2" customFormat="1" spans="1:10">
      <c r="A3162" s="6">
        <f>3160</f>
        <v>3160</v>
      </c>
      <c r="B3162" s="6" t="s">
        <v>8362</v>
      </c>
      <c r="C3162" s="6" t="s">
        <v>12</v>
      </c>
      <c r="D3162" s="6" t="s">
        <v>6677</v>
      </c>
      <c r="E3162" s="6" t="s">
        <v>8151</v>
      </c>
      <c r="F3162" s="6" t="s">
        <v>8363</v>
      </c>
      <c r="G3162" s="6" t="s">
        <v>16</v>
      </c>
      <c r="H3162" s="5">
        <v>2</v>
      </c>
      <c r="I3162" s="6" t="s">
        <v>8364</v>
      </c>
      <c r="J3162" s="5">
        <v>500</v>
      </c>
    </row>
    <row r="3163" s="2" customFormat="1" spans="1:10">
      <c r="A3163" s="6">
        <f>3161</f>
        <v>3161</v>
      </c>
      <c r="B3163" s="6" t="s">
        <v>8365</v>
      </c>
      <c r="C3163" s="6" t="s">
        <v>12</v>
      </c>
      <c r="D3163" s="6" t="s">
        <v>6677</v>
      </c>
      <c r="E3163" s="6" t="s">
        <v>8151</v>
      </c>
      <c r="F3163" s="6" t="s">
        <v>8366</v>
      </c>
      <c r="G3163" s="6" t="s">
        <v>16</v>
      </c>
      <c r="H3163" s="5">
        <v>1</v>
      </c>
      <c r="I3163" s="6" t="s">
        <v>8366</v>
      </c>
      <c r="J3163" s="5">
        <v>540</v>
      </c>
    </row>
    <row r="3164" s="2" customFormat="1" spans="1:10">
      <c r="A3164" s="6">
        <f>3162</f>
        <v>3162</v>
      </c>
      <c r="B3164" s="6" t="s">
        <v>8367</v>
      </c>
      <c r="C3164" s="6" t="s">
        <v>12</v>
      </c>
      <c r="D3164" s="6" t="s">
        <v>6677</v>
      </c>
      <c r="E3164" s="6" t="s">
        <v>8151</v>
      </c>
      <c r="F3164" s="6" t="s">
        <v>8368</v>
      </c>
      <c r="G3164" s="6" t="s">
        <v>16</v>
      </c>
      <c r="H3164" s="5">
        <v>3</v>
      </c>
      <c r="I3164" s="6" t="s">
        <v>8369</v>
      </c>
      <c r="J3164" s="5">
        <v>870</v>
      </c>
    </row>
    <row r="3165" s="2" customFormat="1" spans="1:10">
      <c r="A3165" s="6">
        <f>3163</f>
        <v>3163</v>
      </c>
      <c r="B3165" s="6" t="s">
        <v>8370</v>
      </c>
      <c r="C3165" s="6" t="s">
        <v>12</v>
      </c>
      <c r="D3165" s="6" t="s">
        <v>6677</v>
      </c>
      <c r="E3165" s="6" t="s">
        <v>8151</v>
      </c>
      <c r="F3165" s="6" t="s">
        <v>8371</v>
      </c>
      <c r="G3165" s="6" t="s">
        <v>16</v>
      </c>
      <c r="H3165" s="5">
        <v>3</v>
      </c>
      <c r="I3165" s="6" t="s">
        <v>8372</v>
      </c>
      <c r="J3165" s="5">
        <v>1100</v>
      </c>
    </row>
    <row r="3166" s="2" customFormat="1" ht="27" spans="1:10">
      <c r="A3166" s="6">
        <f>3164</f>
        <v>3164</v>
      </c>
      <c r="B3166" s="6" t="s">
        <v>8373</v>
      </c>
      <c r="C3166" s="6" t="s">
        <v>12</v>
      </c>
      <c r="D3166" s="6" t="s">
        <v>8374</v>
      </c>
      <c r="E3166" s="6" t="s">
        <v>8375</v>
      </c>
      <c r="F3166" s="6" t="s">
        <v>8376</v>
      </c>
      <c r="G3166" s="6" t="s">
        <v>16</v>
      </c>
      <c r="H3166" s="5">
        <v>4</v>
      </c>
      <c r="I3166" s="6" t="s">
        <v>8377</v>
      </c>
      <c r="J3166" s="5">
        <v>1008</v>
      </c>
    </row>
    <row r="3167" s="2" customFormat="1" spans="1:10">
      <c r="A3167" s="6">
        <f>3165</f>
        <v>3165</v>
      </c>
      <c r="B3167" s="6" t="s">
        <v>8378</v>
      </c>
      <c r="C3167" s="6" t="s">
        <v>12</v>
      </c>
      <c r="D3167" s="6" t="s">
        <v>8374</v>
      </c>
      <c r="E3167" s="6" t="s">
        <v>8375</v>
      </c>
      <c r="F3167" s="6" t="s">
        <v>8379</v>
      </c>
      <c r="G3167" s="6" t="s">
        <v>16</v>
      </c>
      <c r="H3167" s="5">
        <v>2</v>
      </c>
      <c r="I3167" s="6" t="s">
        <v>8380</v>
      </c>
      <c r="J3167" s="5">
        <v>520</v>
      </c>
    </row>
    <row r="3168" s="2" customFormat="1" spans="1:10">
      <c r="A3168" s="6">
        <f>3166</f>
        <v>3166</v>
      </c>
      <c r="B3168" s="6" t="s">
        <v>8381</v>
      </c>
      <c r="C3168" s="6" t="s">
        <v>12</v>
      </c>
      <c r="D3168" s="6" t="s">
        <v>8374</v>
      </c>
      <c r="E3168" s="6" t="s">
        <v>8375</v>
      </c>
      <c r="F3168" s="6" t="s">
        <v>8382</v>
      </c>
      <c r="G3168" s="6" t="s">
        <v>16</v>
      </c>
      <c r="H3168" s="5">
        <v>2</v>
      </c>
      <c r="I3168" s="6" t="s">
        <v>8383</v>
      </c>
      <c r="J3168" s="5">
        <v>960</v>
      </c>
    </row>
    <row r="3169" s="2" customFormat="1" spans="1:10">
      <c r="A3169" s="6">
        <f>3167</f>
        <v>3167</v>
      </c>
      <c r="B3169" s="6" t="s">
        <v>8384</v>
      </c>
      <c r="C3169" s="6" t="s">
        <v>12</v>
      </c>
      <c r="D3169" s="6" t="s">
        <v>8374</v>
      </c>
      <c r="E3169" s="6" t="s">
        <v>8375</v>
      </c>
      <c r="F3169" s="6" t="s">
        <v>8385</v>
      </c>
      <c r="G3169" s="6" t="s">
        <v>16</v>
      </c>
      <c r="H3169" s="5">
        <v>2</v>
      </c>
      <c r="I3169" s="6" t="s">
        <v>8386</v>
      </c>
      <c r="J3169" s="5">
        <v>880</v>
      </c>
    </row>
    <row r="3170" s="2" customFormat="1" ht="27" spans="1:10">
      <c r="A3170" s="6">
        <f>3168</f>
        <v>3168</v>
      </c>
      <c r="B3170" s="6" t="s">
        <v>8387</v>
      </c>
      <c r="C3170" s="6" t="s">
        <v>12</v>
      </c>
      <c r="D3170" s="6" t="s">
        <v>8374</v>
      </c>
      <c r="E3170" s="6" t="s">
        <v>8375</v>
      </c>
      <c r="F3170" s="6" t="s">
        <v>8388</v>
      </c>
      <c r="G3170" s="6" t="s">
        <v>16</v>
      </c>
      <c r="H3170" s="5">
        <v>5</v>
      </c>
      <c r="I3170" s="6" t="s">
        <v>8389</v>
      </c>
      <c r="J3170" s="5">
        <v>1055</v>
      </c>
    </row>
    <row r="3171" s="2" customFormat="1" spans="1:10">
      <c r="A3171" s="6">
        <f>3169</f>
        <v>3169</v>
      </c>
      <c r="B3171" s="6" t="s">
        <v>8390</v>
      </c>
      <c r="C3171" s="6" t="s">
        <v>12</v>
      </c>
      <c r="D3171" s="6" t="s">
        <v>8374</v>
      </c>
      <c r="E3171" s="6" t="s">
        <v>8375</v>
      </c>
      <c r="F3171" s="6" t="s">
        <v>8391</v>
      </c>
      <c r="G3171" s="6" t="s">
        <v>16</v>
      </c>
      <c r="H3171" s="5">
        <v>1</v>
      </c>
      <c r="I3171" s="6" t="s">
        <v>8391</v>
      </c>
      <c r="J3171" s="5">
        <v>270</v>
      </c>
    </row>
    <row r="3172" s="2" customFormat="1" spans="1:10">
      <c r="A3172" s="6">
        <f>3170</f>
        <v>3170</v>
      </c>
      <c r="B3172" s="6" t="s">
        <v>8392</v>
      </c>
      <c r="C3172" s="6" t="s">
        <v>12</v>
      </c>
      <c r="D3172" s="6" t="s">
        <v>8374</v>
      </c>
      <c r="E3172" s="6" t="s">
        <v>8375</v>
      </c>
      <c r="F3172" s="6" t="s">
        <v>8393</v>
      </c>
      <c r="G3172" s="6" t="s">
        <v>16</v>
      </c>
      <c r="H3172" s="5">
        <v>1</v>
      </c>
      <c r="I3172" s="6" t="s">
        <v>8393</v>
      </c>
      <c r="J3172" s="5">
        <v>270</v>
      </c>
    </row>
    <row r="3173" s="2" customFormat="1" spans="1:10">
      <c r="A3173" s="6">
        <f>3171</f>
        <v>3171</v>
      </c>
      <c r="B3173" s="6" t="s">
        <v>8394</v>
      </c>
      <c r="C3173" s="6" t="s">
        <v>12</v>
      </c>
      <c r="D3173" s="6" t="s">
        <v>8374</v>
      </c>
      <c r="E3173" s="6" t="s">
        <v>8375</v>
      </c>
      <c r="F3173" s="6" t="s">
        <v>8395</v>
      </c>
      <c r="G3173" s="6" t="s">
        <v>16</v>
      </c>
      <c r="H3173" s="5">
        <v>1</v>
      </c>
      <c r="I3173" s="6" t="s">
        <v>8395</v>
      </c>
      <c r="J3173" s="5">
        <v>370</v>
      </c>
    </row>
    <row r="3174" s="2" customFormat="1" spans="1:10">
      <c r="A3174" s="6">
        <f>3172</f>
        <v>3172</v>
      </c>
      <c r="B3174" s="6" t="s">
        <v>8396</v>
      </c>
      <c r="C3174" s="6" t="s">
        <v>12</v>
      </c>
      <c r="D3174" s="6" t="s">
        <v>8374</v>
      </c>
      <c r="E3174" s="6" t="s">
        <v>8375</v>
      </c>
      <c r="F3174" s="6" t="s">
        <v>8397</v>
      </c>
      <c r="G3174" s="6" t="s">
        <v>16</v>
      </c>
      <c r="H3174" s="5">
        <v>2</v>
      </c>
      <c r="I3174" s="6" t="s">
        <v>8398</v>
      </c>
      <c r="J3174" s="5">
        <v>690</v>
      </c>
    </row>
    <row r="3175" s="2" customFormat="1" spans="1:10">
      <c r="A3175" s="6">
        <f>3173</f>
        <v>3173</v>
      </c>
      <c r="B3175" s="6" t="s">
        <v>8399</v>
      </c>
      <c r="C3175" s="6" t="s">
        <v>12</v>
      </c>
      <c r="D3175" s="6" t="s">
        <v>8374</v>
      </c>
      <c r="E3175" s="6" t="s">
        <v>8375</v>
      </c>
      <c r="F3175" s="6" t="s">
        <v>8400</v>
      </c>
      <c r="G3175" s="6" t="s">
        <v>16</v>
      </c>
      <c r="H3175" s="5">
        <v>1</v>
      </c>
      <c r="I3175" s="6" t="s">
        <v>8400</v>
      </c>
      <c r="J3175" s="5">
        <v>270</v>
      </c>
    </row>
    <row r="3176" s="2" customFormat="1" spans="1:10">
      <c r="A3176" s="6">
        <f>3174</f>
        <v>3174</v>
      </c>
      <c r="B3176" s="6" t="s">
        <v>8401</v>
      </c>
      <c r="C3176" s="6" t="s">
        <v>12</v>
      </c>
      <c r="D3176" s="6" t="s">
        <v>8374</v>
      </c>
      <c r="E3176" s="6" t="s">
        <v>8375</v>
      </c>
      <c r="F3176" s="6" t="s">
        <v>8402</v>
      </c>
      <c r="G3176" s="6" t="s">
        <v>16</v>
      </c>
      <c r="H3176" s="5">
        <v>2</v>
      </c>
      <c r="I3176" s="6" t="s">
        <v>8403</v>
      </c>
      <c r="J3176" s="5">
        <v>570</v>
      </c>
    </row>
    <row r="3177" s="2" customFormat="1" spans="1:10">
      <c r="A3177" s="6">
        <f>3175</f>
        <v>3175</v>
      </c>
      <c r="B3177" s="6" t="s">
        <v>8404</v>
      </c>
      <c r="C3177" s="6" t="s">
        <v>12</v>
      </c>
      <c r="D3177" s="6" t="s">
        <v>8374</v>
      </c>
      <c r="E3177" s="6" t="s">
        <v>8375</v>
      </c>
      <c r="F3177" s="6" t="s">
        <v>8405</v>
      </c>
      <c r="G3177" s="6" t="s">
        <v>16</v>
      </c>
      <c r="H3177" s="5">
        <v>1</v>
      </c>
      <c r="I3177" s="6" t="s">
        <v>8405</v>
      </c>
      <c r="J3177" s="5">
        <v>360</v>
      </c>
    </row>
    <row r="3178" s="2" customFormat="1" spans="1:10">
      <c r="A3178" s="6">
        <f>3176</f>
        <v>3176</v>
      </c>
      <c r="B3178" s="6" t="s">
        <v>8406</v>
      </c>
      <c r="C3178" s="6" t="s">
        <v>12</v>
      </c>
      <c r="D3178" s="6" t="s">
        <v>8374</v>
      </c>
      <c r="E3178" s="6" t="s">
        <v>8375</v>
      </c>
      <c r="F3178" s="6" t="s">
        <v>8407</v>
      </c>
      <c r="G3178" s="6" t="s">
        <v>16</v>
      </c>
      <c r="H3178" s="5">
        <v>1</v>
      </c>
      <c r="I3178" s="6" t="s">
        <v>8407</v>
      </c>
      <c r="J3178" s="5">
        <v>270</v>
      </c>
    </row>
    <row r="3179" s="2" customFormat="1" spans="1:10">
      <c r="A3179" s="6">
        <f>3177</f>
        <v>3177</v>
      </c>
      <c r="B3179" s="6" t="s">
        <v>8408</v>
      </c>
      <c r="C3179" s="6" t="s">
        <v>12</v>
      </c>
      <c r="D3179" s="6" t="s">
        <v>8374</v>
      </c>
      <c r="E3179" s="6" t="s">
        <v>8375</v>
      </c>
      <c r="F3179" s="6" t="s">
        <v>8409</v>
      </c>
      <c r="G3179" s="6" t="s">
        <v>16</v>
      </c>
      <c r="H3179" s="5">
        <v>1</v>
      </c>
      <c r="I3179" s="6" t="s">
        <v>8409</v>
      </c>
      <c r="J3179" s="5">
        <v>370</v>
      </c>
    </row>
    <row r="3180" s="2" customFormat="1" spans="1:10">
      <c r="A3180" s="6">
        <f>3178</f>
        <v>3178</v>
      </c>
      <c r="B3180" s="6" t="s">
        <v>8410</v>
      </c>
      <c r="C3180" s="6" t="s">
        <v>12</v>
      </c>
      <c r="D3180" s="6" t="s">
        <v>8374</v>
      </c>
      <c r="E3180" s="6" t="s">
        <v>8375</v>
      </c>
      <c r="F3180" s="6" t="s">
        <v>8411</v>
      </c>
      <c r="G3180" s="6" t="s">
        <v>16</v>
      </c>
      <c r="H3180" s="5">
        <v>2</v>
      </c>
      <c r="I3180" s="6" t="s">
        <v>8412</v>
      </c>
      <c r="J3180" s="5">
        <v>586</v>
      </c>
    </row>
    <row r="3181" s="2" customFormat="1" ht="27" spans="1:10">
      <c r="A3181" s="6">
        <f>3179</f>
        <v>3179</v>
      </c>
      <c r="B3181" s="6" t="s">
        <v>8413</v>
      </c>
      <c r="C3181" s="6" t="s">
        <v>12</v>
      </c>
      <c r="D3181" s="6" t="s">
        <v>8374</v>
      </c>
      <c r="E3181" s="6" t="s">
        <v>8375</v>
      </c>
      <c r="F3181" s="6" t="s">
        <v>8414</v>
      </c>
      <c r="G3181" s="6" t="s">
        <v>16</v>
      </c>
      <c r="H3181" s="5">
        <v>4</v>
      </c>
      <c r="I3181" s="6" t="s">
        <v>8415</v>
      </c>
      <c r="J3181" s="5">
        <v>610</v>
      </c>
    </row>
    <row r="3182" s="2" customFormat="1" ht="27" spans="1:10">
      <c r="A3182" s="6">
        <f>3180</f>
        <v>3180</v>
      </c>
      <c r="B3182" s="6" t="s">
        <v>8416</v>
      </c>
      <c r="C3182" s="6" t="s">
        <v>12</v>
      </c>
      <c r="D3182" s="6" t="s">
        <v>8374</v>
      </c>
      <c r="E3182" s="6" t="s">
        <v>8375</v>
      </c>
      <c r="F3182" s="6" t="s">
        <v>8417</v>
      </c>
      <c r="G3182" s="6" t="s">
        <v>16</v>
      </c>
      <c r="H3182" s="5">
        <v>4</v>
      </c>
      <c r="I3182" s="6" t="s">
        <v>8418</v>
      </c>
      <c r="J3182" s="5">
        <v>1040</v>
      </c>
    </row>
    <row r="3183" s="2" customFormat="1" spans="1:10">
      <c r="A3183" s="6">
        <f>3181</f>
        <v>3181</v>
      </c>
      <c r="B3183" s="6" t="s">
        <v>8419</v>
      </c>
      <c r="C3183" s="6" t="s">
        <v>12</v>
      </c>
      <c r="D3183" s="6" t="s">
        <v>8374</v>
      </c>
      <c r="E3183" s="6" t="s">
        <v>8375</v>
      </c>
      <c r="F3183" s="6" t="s">
        <v>8420</v>
      </c>
      <c r="G3183" s="6" t="s">
        <v>16</v>
      </c>
      <c r="H3183" s="5">
        <v>1</v>
      </c>
      <c r="I3183" s="6" t="s">
        <v>8420</v>
      </c>
      <c r="J3183" s="5">
        <v>550</v>
      </c>
    </row>
    <row r="3184" s="2" customFormat="1" spans="1:10">
      <c r="A3184" s="6">
        <f>3182</f>
        <v>3182</v>
      </c>
      <c r="B3184" s="6" t="s">
        <v>8421</v>
      </c>
      <c r="C3184" s="6" t="s">
        <v>12</v>
      </c>
      <c r="D3184" s="6" t="s">
        <v>8374</v>
      </c>
      <c r="E3184" s="6" t="s">
        <v>8375</v>
      </c>
      <c r="F3184" s="6" t="s">
        <v>8422</v>
      </c>
      <c r="G3184" s="6" t="s">
        <v>16</v>
      </c>
      <c r="H3184" s="5">
        <v>1</v>
      </c>
      <c r="I3184" s="6" t="s">
        <v>8422</v>
      </c>
      <c r="J3184" s="5">
        <v>300</v>
      </c>
    </row>
    <row r="3185" s="2" customFormat="1" spans="1:10">
      <c r="A3185" s="6">
        <f>3183</f>
        <v>3183</v>
      </c>
      <c r="B3185" s="6" t="s">
        <v>8423</v>
      </c>
      <c r="C3185" s="6" t="s">
        <v>12</v>
      </c>
      <c r="D3185" s="6" t="s">
        <v>8374</v>
      </c>
      <c r="E3185" s="6" t="s">
        <v>8375</v>
      </c>
      <c r="F3185" s="6" t="s">
        <v>8424</v>
      </c>
      <c r="G3185" s="6" t="s">
        <v>16</v>
      </c>
      <c r="H3185" s="5">
        <v>1</v>
      </c>
      <c r="I3185" s="6" t="s">
        <v>8424</v>
      </c>
      <c r="J3185" s="5">
        <v>345</v>
      </c>
    </row>
    <row r="3186" s="2" customFormat="1" ht="27" spans="1:10">
      <c r="A3186" s="6">
        <f>3184</f>
        <v>3184</v>
      </c>
      <c r="B3186" s="6" t="s">
        <v>8425</v>
      </c>
      <c r="C3186" s="6" t="s">
        <v>12</v>
      </c>
      <c r="D3186" s="6" t="s">
        <v>8374</v>
      </c>
      <c r="E3186" s="6" t="s">
        <v>8375</v>
      </c>
      <c r="F3186" s="6" t="s">
        <v>8426</v>
      </c>
      <c r="G3186" s="6" t="s">
        <v>16</v>
      </c>
      <c r="H3186" s="5">
        <v>5</v>
      </c>
      <c r="I3186" s="6" t="s">
        <v>8427</v>
      </c>
      <c r="J3186" s="5">
        <v>2700</v>
      </c>
    </row>
    <row r="3187" s="2" customFormat="1" ht="27" spans="1:10">
      <c r="A3187" s="6">
        <f>3185</f>
        <v>3185</v>
      </c>
      <c r="B3187" s="6" t="s">
        <v>8428</v>
      </c>
      <c r="C3187" s="6" t="s">
        <v>12</v>
      </c>
      <c r="D3187" s="6" t="s">
        <v>8374</v>
      </c>
      <c r="E3187" s="6" t="s">
        <v>8375</v>
      </c>
      <c r="F3187" s="6" t="s">
        <v>8429</v>
      </c>
      <c r="G3187" s="6" t="s">
        <v>16</v>
      </c>
      <c r="H3187" s="5">
        <v>6</v>
      </c>
      <c r="I3187" s="6" t="s">
        <v>8430</v>
      </c>
      <c r="J3187" s="5">
        <v>1740</v>
      </c>
    </row>
    <row r="3188" s="2" customFormat="1" spans="1:10">
      <c r="A3188" s="6">
        <f>3186</f>
        <v>3186</v>
      </c>
      <c r="B3188" s="6" t="s">
        <v>8431</v>
      </c>
      <c r="C3188" s="6" t="s">
        <v>12</v>
      </c>
      <c r="D3188" s="6" t="s">
        <v>8374</v>
      </c>
      <c r="E3188" s="6" t="s">
        <v>8375</v>
      </c>
      <c r="F3188" s="6" t="s">
        <v>8432</v>
      </c>
      <c r="G3188" s="6" t="s">
        <v>16</v>
      </c>
      <c r="H3188" s="5">
        <v>1</v>
      </c>
      <c r="I3188" s="6" t="s">
        <v>8432</v>
      </c>
      <c r="J3188" s="5">
        <v>395</v>
      </c>
    </row>
    <row r="3189" s="2" customFormat="1" spans="1:10">
      <c r="A3189" s="6">
        <f>3187</f>
        <v>3187</v>
      </c>
      <c r="B3189" s="6" t="s">
        <v>8433</v>
      </c>
      <c r="C3189" s="6" t="s">
        <v>12</v>
      </c>
      <c r="D3189" s="6" t="s">
        <v>8374</v>
      </c>
      <c r="E3189" s="6" t="s">
        <v>8375</v>
      </c>
      <c r="F3189" s="6" t="s">
        <v>8434</v>
      </c>
      <c r="G3189" s="6" t="s">
        <v>16</v>
      </c>
      <c r="H3189" s="5">
        <v>1</v>
      </c>
      <c r="I3189" s="6" t="s">
        <v>8434</v>
      </c>
      <c r="J3189" s="5">
        <v>270</v>
      </c>
    </row>
    <row r="3190" s="2" customFormat="1" spans="1:10">
      <c r="A3190" s="6">
        <f>3188</f>
        <v>3188</v>
      </c>
      <c r="B3190" s="6" t="s">
        <v>8435</v>
      </c>
      <c r="C3190" s="6" t="s">
        <v>12</v>
      </c>
      <c r="D3190" s="6" t="s">
        <v>8374</v>
      </c>
      <c r="E3190" s="6" t="s">
        <v>8375</v>
      </c>
      <c r="F3190" s="6" t="s">
        <v>8436</v>
      </c>
      <c r="G3190" s="6" t="s">
        <v>16</v>
      </c>
      <c r="H3190" s="5">
        <v>3</v>
      </c>
      <c r="I3190" s="6" t="s">
        <v>8437</v>
      </c>
      <c r="J3190" s="5">
        <v>935</v>
      </c>
    </row>
    <row r="3191" s="2" customFormat="1" spans="1:10">
      <c r="A3191" s="6">
        <f>3189</f>
        <v>3189</v>
      </c>
      <c r="B3191" s="6" t="s">
        <v>8438</v>
      </c>
      <c r="C3191" s="6" t="s">
        <v>12</v>
      </c>
      <c r="D3191" s="6" t="s">
        <v>8374</v>
      </c>
      <c r="E3191" s="6" t="s">
        <v>8375</v>
      </c>
      <c r="F3191" s="6" t="s">
        <v>8439</v>
      </c>
      <c r="G3191" s="6" t="s">
        <v>16</v>
      </c>
      <c r="H3191" s="5">
        <v>3</v>
      </c>
      <c r="I3191" s="6" t="s">
        <v>8440</v>
      </c>
      <c r="J3191" s="5">
        <v>540</v>
      </c>
    </row>
    <row r="3192" s="2" customFormat="1" spans="1:10">
      <c r="A3192" s="6">
        <f>3190</f>
        <v>3190</v>
      </c>
      <c r="B3192" s="6" t="s">
        <v>8441</v>
      </c>
      <c r="C3192" s="6" t="s">
        <v>12</v>
      </c>
      <c r="D3192" s="6" t="s">
        <v>8374</v>
      </c>
      <c r="E3192" s="6" t="s">
        <v>8375</v>
      </c>
      <c r="F3192" s="6" t="s">
        <v>8442</v>
      </c>
      <c r="G3192" s="6" t="s">
        <v>16</v>
      </c>
      <c r="H3192" s="5">
        <v>3</v>
      </c>
      <c r="I3192" s="6" t="s">
        <v>8443</v>
      </c>
      <c r="J3192" s="5">
        <v>973</v>
      </c>
    </row>
    <row r="3193" s="2" customFormat="1" spans="1:10">
      <c r="A3193" s="6">
        <f>3191</f>
        <v>3191</v>
      </c>
      <c r="B3193" s="6" t="s">
        <v>8444</v>
      </c>
      <c r="C3193" s="6" t="s">
        <v>12</v>
      </c>
      <c r="D3193" s="6" t="s">
        <v>8374</v>
      </c>
      <c r="E3193" s="6" t="s">
        <v>8375</v>
      </c>
      <c r="F3193" s="6" t="s">
        <v>8445</v>
      </c>
      <c r="G3193" s="6" t="s">
        <v>16</v>
      </c>
      <c r="H3193" s="5">
        <v>1</v>
      </c>
      <c r="I3193" s="6" t="s">
        <v>8445</v>
      </c>
      <c r="J3193" s="5">
        <v>273</v>
      </c>
    </row>
    <row r="3194" s="2" customFormat="1" spans="1:10">
      <c r="A3194" s="6">
        <f>3192</f>
        <v>3192</v>
      </c>
      <c r="B3194" s="6" t="s">
        <v>8446</v>
      </c>
      <c r="C3194" s="6" t="s">
        <v>12</v>
      </c>
      <c r="D3194" s="6" t="s">
        <v>8374</v>
      </c>
      <c r="E3194" s="6" t="s">
        <v>8375</v>
      </c>
      <c r="F3194" s="6" t="s">
        <v>8447</v>
      </c>
      <c r="G3194" s="6" t="s">
        <v>16</v>
      </c>
      <c r="H3194" s="5">
        <v>2</v>
      </c>
      <c r="I3194" s="6" t="s">
        <v>8448</v>
      </c>
      <c r="J3194" s="5">
        <v>520</v>
      </c>
    </row>
    <row r="3195" s="2" customFormat="1" spans="1:10">
      <c r="A3195" s="6">
        <f>3193</f>
        <v>3193</v>
      </c>
      <c r="B3195" s="6" t="s">
        <v>8449</v>
      </c>
      <c r="C3195" s="6" t="s">
        <v>12</v>
      </c>
      <c r="D3195" s="6" t="s">
        <v>8374</v>
      </c>
      <c r="E3195" s="6" t="s">
        <v>8375</v>
      </c>
      <c r="F3195" s="6" t="s">
        <v>8450</v>
      </c>
      <c r="G3195" s="6" t="s">
        <v>16</v>
      </c>
      <c r="H3195" s="5">
        <v>2</v>
      </c>
      <c r="I3195" s="6" t="s">
        <v>8451</v>
      </c>
      <c r="J3195" s="5">
        <v>540</v>
      </c>
    </row>
    <row r="3196" s="2" customFormat="1" spans="1:10">
      <c r="A3196" s="6">
        <f>3194</f>
        <v>3194</v>
      </c>
      <c r="B3196" s="6" t="s">
        <v>8452</v>
      </c>
      <c r="C3196" s="6" t="s">
        <v>12</v>
      </c>
      <c r="D3196" s="6" t="s">
        <v>8374</v>
      </c>
      <c r="E3196" s="6" t="s">
        <v>8375</v>
      </c>
      <c r="F3196" s="6" t="s">
        <v>8453</v>
      </c>
      <c r="G3196" s="6" t="s">
        <v>16</v>
      </c>
      <c r="H3196" s="5">
        <v>1</v>
      </c>
      <c r="I3196" s="6" t="s">
        <v>8453</v>
      </c>
      <c r="J3196" s="5">
        <v>460</v>
      </c>
    </row>
    <row r="3197" s="2" customFormat="1" spans="1:10">
      <c r="A3197" s="6">
        <f>3195</f>
        <v>3195</v>
      </c>
      <c r="B3197" s="6" t="s">
        <v>8454</v>
      </c>
      <c r="C3197" s="6" t="s">
        <v>12</v>
      </c>
      <c r="D3197" s="6" t="s">
        <v>8374</v>
      </c>
      <c r="E3197" s="6" t="s">
        <v>8375</v>
      </c>
      <c r="F3197" s="6" t="s">
        <v>8455</v>
      </c>
      <c r="G3197" s="6" t="s">
        <v>16</v>
      </c>
      <c r="H3197" s="5">
        <v>1</v>
      </c>
      <c r="I3197" s="6" t="s">
        <v>8455</v>
      </c>
      <c r="J3197" s="5">
        <v>360</v>
      </c>
    </row>
    <row r="3198" s="2" customFormat="1" spans="1:10">
      <c r="A3198" s="6">
        <f>3196</f>
        <v>3196</v>
      </c>
      <c r="B3198" s="6" t="s">
        <v>8456</v>
      </c>
      <c r="C3198" s="6" t="s">
        <v>12</v>
      </c>
      <c r="D3198" s="6" t="s">
        <v>8374</v>
      </c>
      <c r="E3198" s="6" t="s">
        <v>8375</v>
      </c>
      <c r="F3198" s="6" t="s">
        <v>8457</v>
      </c>
      <c r="G3198" s="6" t="s">
        <v>16</v>
      </c>
      <c r="H3198" s="5">
        <v>1</v>
      </c>
      <c r="I3198" s="6" t="s">
        <v>8457</v>
      </c>
      <c r="J3198" s="5">
        <v>275</v>
      </c>
    </row>
    <row r="3199" s="2" customFormat="1" spans="1:10">
      <c r="A3199" s="6">
        <f>3197</f>
        <v>3197</v>
      </c>
      <c r="B3199" s="6" t="s">
        <v>8458</v>
      </c>
      <c r="C3199" s="6" t="s">
        <v>12</v>
      </c>
      <c r="D3199" s="6" t="s">
        <v>8374</v>
      </c>
      <c r="E3199" s="6" t="s">
        <v>8459</v>
      </c>
      <c r="F3199" s="6" t="s">
        <v>8460</v>
      </c>
      <c r="G3199" s="6" t="s">
        <v>16</v>
      </c>
      <c r="H3199" s="5">
        <v>1</v>
      </c>
      <c r="I3199" s="6" t="s">
        <v>8460</v>
      </c>
      <c r="J3199" s="5">
        <v>440</v>
      </c>
    </row>
    <row r="3200" s="2" customFormat="1" spans="1:10">
      <c r="A3200" s="6">
        <f>3198</f>
        <v>3198</v>
      </c>
      <c r="B3200" s="6" t="s">
        <v>8461</v>
      </c>
      <c r="C3200" s="6" t="s">
        <v>12</v>
      </c>
      <c r="D3200" s="6" t="s">
        <v>8374</v>
      </c>
      <c r="E3200" s="6" t="s">
        <v>8459</v>
      </c>
      <c r="F3200" s="6" t="s">
        <v>8462</v>
      </c>
      <c r="G3200" s="6" t="s">
        <v>16</v>
      </c>
      <c r="H3200" s="5">
        <v>3</v>
      </c>
      <c r="I3200" s="6" t="s">
        <v>8463</v>
      </c>
      <c r="J3200" s="5">
        <v>1100</v>
      </c>
    </row>
    <row r="3201" s="2" customFormat="1" spans="1:10">
      <c r="A3201" s="6">
        <f>3199</f>
        <v>3199</v>
      </c>
      <c r="B3201" s="6" t="s">
        <v>8464</v>
      </c>
      <c r="C3201" s="6" t="s">
        <v>12</v>
      </c>
      <c r="D3201" s="6" t="s">
        <v>8374</v>
      </c>
      <c r="E3201" s="6" t="s">
        <v>8459</v>
      </c>
      <c r="F3201" s="6" t="s">
        <v>8465</v>
      </c>
      <c r="G3201" s="6" t="s">
        <v>16</v>
      </c>
      <c r="H3201" s="5">
        <v>1</v>
      </c>
      <c r="I3201" s="6" t="s">
        <v>8465</v>
      </c>
      <c r="J3201" s="5">
        <v>410</v>
      </c>
    </row>
    <row r="3202" s="2" customFormat="1" spans="1:10">
      <c r="A3202" s="6">
        <f>3200</f>
        <v>3200</v>
      </c>
      <c r="B3202" s="6" t="s">
        <v>8466</v>
      </c>
      <c r="C3202" s="6" t="s">
        <v>12</v>
      </c>
      <c r="D3202" s="6" t="s">
        <v>8374</v>
      </c>
      <c r="E3202" s="6" t="s">
        <v>8459</v>
      </c>
      <c r="F3202" s="6" t="s">
        <v>8467</v>
      </c>
      <c r="G3202" s="6" t="s">
        <v>16</v>
      </c>
      <c r="H3202" s="5">
        <v>3</v>
      </c>
      <c r="I3202" s="6" t="s">
        <v>8468</v>
      </c>
      <c r="J3202" s="5">
        <v>1170</v>
      </c>
    </row>
    <row r="3203" s="2" customFormat="1" spans="1:10">
      <c r="A3203" s="6">
        <f>3201</f>
        <v>3201</v>
      </c>
      <c r="B3203" s="6" t="s">
        <v>8469</v>
      </c>
      <c r="C3203" s="6" t="s">
        <v>12</v>
      </c>
      <c r="D3203" s="6" t="s">
        <v>8374</v>
      </c>
      <c r="E3203" s="6" t="s">
        <v>8459</v>
      </c>
      <c r="F3203" s="6" t="s">
        <v>8470</v>
      </c>
      <c r="G3203" s="6" t="s">
        <v>16</v>
      </c>
      <c r="H3203" s="5">
        <v>1</v>
      </c>
      <c r="I3203" s="6" t="s">
        <v>8470</v>
      </c>
      <c r="J3203" s="5">
        <v>410</v>
      </c>
    </row>
    <row r="3204" s="2" customFormat="1" spans="1:10">
      <c r="A3204" s="6">
        <f>3202</f>
        <v>3202</v>
      </c>
      <c r="B3204" s="6" t="s">
        <v>8471</v>
      </c>
      <c r="C3204" s="6" t="s">
        <v>12</v>
      </c>
      <c r="D3204" s="6" t="s">
        <v>8374</v>
      </c>
      <c r="E3204" s="6" t="s">
        <v>8459</v>
      </c>
      <c r="F3204" s="6" t="s">
        <v>8472</v>
      </c>
      <c r="G3204" s="6" t="s">
        <v>16</v>
      </c>
      <c r="H3204" s="5">
        <v>1</v>
      </c>
      <c r="I3204" s="6" t="s">
        <v>8472</v>
      </c>
      <c r="J3204" s="5">
        <v>258</v>
      </c>
    </row>
    <row r="3205" s="2" customFormat="1" spans="1:10">
      <c r="A3205" s="6">
        <f>3203</f>
        <v>3203</v>
      </c>
      <c r="B3205" s="6" t="s">
        <v>8473</v>
      </c>
      <c r="C3205" s="6" t="s">
        <v>12</v>
      </c>
      <c r="D3205" s="6" t="s">
        <v>8374</v>
      </c>
      <c r="E3205" s="6" t="s">
        <v>8459</v>
      </c>
      <c r="F3205" s="6" t="s">
        <v>8474</v>
      </c>
      <c r="G3205" s="6" t="s">
        <v>16</v>
      </c>
      <c r="H3205" s="5">
        <v>1</v>
      </c>
      <c r="I3205" s="6" t="s">
        <v>8474</v>
      </c>
      <c r="J3205" s="5">
        <v>260</v>
      </c>
    </row>
    <row r="3206" s="2" customFormat="1" spans="1:10">
      <c r="A3206" s="6">
        <f>3204</f>
        <v>3204</v>
      </c>
      <c r="B3206" s="6" t="s">
        <v>8475</v>
      </c>
      <c r="C3206" s="6" t="s">
        <v>12</v>
      </c>
      <c r="D3206" s="6" t="s">
        <v>8374</v>
      </c>
      <c r="E3206" s="6" t="s">
        <v>8459</v>
      </c>
      <c r="F3206" s="6" t="s">
        <v>8476</v>
      </c>
      <c r="G3206" s="6" t="s">
        <v>16</v>
      </c>
      <c r="H3206" s="5">
        <v>3</v>
      </c>
      <c r="I3206" s="6" t="s">
        <v>8477</v>
      </c>
      <c r="J3206" s="5">
        <v>836</v>
      </c>
    </row>
    <row r="3207" s="2" customFormat="1" spans="1:10">
      <c r="A3207" s="6">
        <f>3205</f>
        <v>3205</v>
      </c>
      <c r="B3207" s="6" t="s">
        <v>8478</v>
      </c>
      <c r="C3207" s="6" t="s">
        <v>12</v>
      </c>
      <c r="D3207" s="6" t="s">
        <v>8374</v>
      </c>
      <c r="E3207" s="6" t="s">
        <v>8459</v>
      </c>
      <c r="F3207" s="6" t="s">
        <v>8479</v>
      </c>
      <c r="G3207" s="6" t="s">
        <v>16</v>
      </c>
      <c r="H3207" s="5">
        <v>2</v>
      </c>
      <c r="I3207" s="6" t="s">
        <v>8480</v>
      </c>
      <c r="J3207" s="5">
        <v>295</v>
      </c>
    </row>
    <row r="3208" s="2" customFormat="1" spans="1:10">
      <c r="A3208" s="6">
        <f>3206</f>
        <v>3206</v>
      </c>
      <c r="B3208" s="6" t="s">
        <v>8481</v>
      </c>
      <c r="C3208" s="6" t="s">
        <v>12</v>
      </c>
      <c r="D3208" s="6" t="s">
        <v>8374</v>
      </c>
      <c r="E3208" s="6" t="s">
        <v>8459</v>
      </c>
      <c r="F3208" s="6" t="s">
        <v>8482</v>
      </c>
      <c r="G3208" s="6" t="s">
        <v>16</v>
      </c>
      <c r="H3208" s="5">
        <v>1</v>
      </c>
      <c r="I3208" s="6" t="s">
        <v>8482</v>
      </c>
      <c r="J3208" s="5">
        <v>310</v>
      </c>
    </row>
    <row r="3209" s="2" customFormat="1" ht="27" spans="1:10">
      <c r="A3209" s="6">
        <f>3207</f>
        <v>3207</v>
      </c>
      <c r="B3209" s="6" t="s">
        <v>8483</v>
      </c>
      <c r="C3209" s="6" t="s">
        <v>12</v>
      </c>
      <c r="D3209" s="6" t="s">
        <v>8374</v>
      </c>
      <c r="E3209" s="6" t="s">
        <v>8459</v>
      </c>
      <c r="F3209" s="6" t="s">
        <v>8484</v>
      </c>
      <c r="G3209" s="6" t="s">
        <v>16</v>
      </c>
      <c r="H3209" s="5">
        <v>4</v>
      </c>
      <c r="I3209" s="6" t="s">
        <v>8485</v>
      </c>
      <c r="J3209" s="5">
        <v>1585</v>
      </c>
    </row>
    <row r="3210" s="2" customFormat="1" spans="1:10">
      <c r="A3210" s="6">
        <f>3208</f>
        <v>3208</v>
      </c>
      <c r="B3210" s="6" t="s">
        <v>8486</v>
      </c>
      <c r="C3210" s="6" t="s">
        <v>12</v>
      </c>
      <c r="D3210" s="6" t="s">
        <v>8374</v>
      </c>
      <c r="E3210" s="6" t="s">
        <v>8459</v>
      </c>
      <c r="F3210" s="6" t="s">
        <v>8487</v>
      </c>
      <c r="G3210" s="6" t="s">
        <v>16</v>
      </c>
      <c r="H3210" s="5">
        <v>3</v>
      </c>
      <c r="I3210" s="6" t="s">
        <v>8488</v>
      </c>
      <c r="J3210" s="5">
        <v>1305</v>
      </c>
    </row>
    <row r="3211" s="2" customFormat="1" ht="27" spans="1:10">
      <c r="A3211" s="6">
        <f>3209</f>
        <v>3209</v>
      </c>
      <c r="B3211" s="6" t="s">
        <v>8489</v>
      </c>
      <c r="C3211" s="6" t="s">
        <v>12</v>
      </c>
      <c r="D3211" s="6" t="s">
        <v>8374</v>
      </c>
      <c r="E3211" s="6" t="s">
        <v>8459</v>
      </c>
      <c r="F3211" s="6" t="s">
        <v>8490</v>
      </c>
      <c r="G3211" s="6" t="s">
        <v>16</v>
      </c>
      <c r="H3211" s="5">
        <v>4</v>
      </c>
      <c r="I3211" s="6" t="s">
        <v>8491</v>
      </c>
      <c r="J3211" s="5">
        <v>920</v>
      </c>
    </row>
    <row r="3212" s="2" customFormat="1" spans="1:10">
      <c r="A3212" s="6">
        <f>3210</f>
        <v>3210</v>
      </c>
      <c r="B3212" s="6" t="s">
        <v>8492</v>
      </c>
      <c r="C3212" s="6" t="s">
        <v>12</v>
      </c>
      <c r="D3212" s="6" t="s">
        <v>8374</v>
      </c>
      <c r="E3212" s="6" t="s">
        <v>8459</v>
      </c>
      <c r="F3212" s="6" t="s">
        <v>8493</v>
      </c>
      <c r="G3212" s="6" t="s">
        <v>16</v>
      </c>
      <c r="H3212" s="5">
        <v>1</v>
      </c>
      <c r="I3212" s="6" t="s">
        <v>8493</v>
      </c>
      <c r="J3212" s="5">
        <v>410</v>
      </c>
    </row>
    <row r="3213" s="2" customFormat="1" spans="1:10">
      <c r="A3213" s="6">
        <f>3211</f>
        <v>3211</v>
      </c>
      <c r="B3213" s="6" t="s">
        <v>8494</v>
      </c>
      <c r="C3213" s="6" t="s">
        <v>12</v>
      </c>
      <c r="D3213" s="6" t="s">
        <v>8374</v>
      </c>
      <c r="E3213" s="6" t="s">
        <v>8459</v>
      </c>
      <c r="F3213" s="6" t="s">
        <v>8495</v>
      </c>
      <c r="G3213" s="6" t="s">
        <v>16</v>
      </c>
      <c r="H3213" s="5">
        <v>1</v>
      </c>
      <c r="I3213" s="6" t="s">
        <v>8495</v>
      </c>
      <c r="J3213" s="5">
        <v>405</v>
      </c>
    </row>
    <row r="3214" s="2" customFormat="1" spans="1:10">
      <c r="A3214" s="6">
        <f>3212</f>
        <v>3212</v>
      </c>
      <c r="B3214" s="6" t="s">
        <v>8496</v>
      </c>
      <c r="C3214" s="6" t="s">
        <v>12</v>
      </c>
      <c r="D3214" s="6" t="s">
        <v>8374</v>
      </c>
      <c r="E3214" s="6" t="s">
        <v>8459</v>
      </c>
      <c r="F3214" s="6" t="s">
        <v>8497</v>
      </c>
      <c r="G3214" s="6" t="s">
        <v>16</v>
      </c>
      <c r="H3214" s="5">
        <v>3</v>
      </c>
      <c r="I3214" s="6" t="s">
        <v>8498</v>
      </c>
      <c r="J3214" s="5">
        <v>1170</v>
      </c>
    </row>
    <row r="3215" s="2" customFormat="1" spans="1:10">
      <c r="A3215" s="6">
        <f>3213</f>
        <v>3213</v>
      </c>
      <c r="B3215" s="6" t="s">
        <v>8499</v>
      </c>
      <c r="C3215" s="6" t="s">
        <v>12</v>
      </c>
      <c r="D3215" s="6" t="s">
        <v>8374</v>
      </c>
      <c r="E3215" s="6" t="s">
        <v>8459</v>
      </c>
      <c r="F3215" s="6" t="s">
        <v>8500</v>
      </c>
      <c r="G3215" s="6" t="s">
        <v>16</v>
      </c>
      <c r="H3215" s="5">
        <v>1</v>
      </c>
      <c r="I3215" s="6" t="s">
        <v>8500</v>
      </c>
      <c r="J3215" s="5">
        <v>370</v>
      </c>
    </row>
    <row r="3216" s="2" customFormat="1" spans="1:10">
      <c r="A3216" s="6">
        <f>3214</f>
        <v>3214</v>
      </c>
      <c r="B3216" s="6" t="s">
        <v>8501</v>
      </c>
      <c r="C3216" s="6" t="s">
        <v>12</v>
      </c>
      <c r="D3216" s="6" t="s">
        <v>8374</v>
      </c>
      <c r="E3216" s="6" t="s">
        <v>8502</v>
      </c>
      <c r="F3216" s="6" t="s">
        <v>8503</v>
      </c>
      <c r="G3216" s="6" t="s">
        <v>16</v>
      </c>
      <c r="H3216" s="5">
        <v>3</v>
      </c>
      <c r="I3216" s="6" t="s">
        <v>8504</v>
      </c>
      <c r="J3216" s="5">
        <v>1280</v>
      </c>
    </row>
    <row r="3217" s="2" customFormat="1" ht="27" spans="1:10">
      <c r="A3217" s="6">
        <f>3215</f>
        <v>3215</v>
      </c>
      <c r="B3217" s="6" t="s">
        <v>8505</v>
      </c>
      <c r="C3217" s="6" t="s">
        <v>12</v>
      </c>
      <c r="D3217" s="6" t="s">
        <v>8374</v>
      </c>
      <c r="E3217" s="6" t="s">
        <v>8502</v>
      </c>
      <c r="F3217" s="6" t="s">
        <v>8506</v>
      </c>
      <c r="G3217" s="6" t="s">
        <v>16</v>
      </c>
      <c r="H3217" s="5">
        <v>5</v>
      </c>
      <c r="I3217" s="6" t="s">
        <v>8507</v>
      </c>
      <c r="J3217" s="5">
        <v>1100</v>
      </c>
    </row>
    <row r="3218" s="2" customFormat="1" spans="1:10">
      <c r="A3218" s="6">
        <f>3216</f>
        <v>3216</v>
      </c>
      <c r="B3218" s="6" t="s">
        <v>8508</v>
      </c>
      <c r="C3218" s="6" t="s">
        <v>12</v>
      </c>
      <c r="D3218" s="6" t="s">
        <v>8374</v>
      </c>
      <c r="E3218" s="6" t="s">
        <v>8502</v>
      </c>
      <c r="F3218" s="6" t="s">
        <v>8509</v>
      </c>
      <c r="G3218" s="6" t="s">
        <v>16</v>
      </c>
      <c r="H3218" s="5">
        <v>2</v>
      </c>
      <c r="I3218" s="6" t="s">
        <v>8510</v>
      </c>
      <c r="J3218" s="5">
        <v>840</v>
      </c>
    </row>
    <row r="3219" s="2" customFormat="1" spans="1:10">
      <c r="A3219" s="6">
        <f>3217</f>
        <v>3217</v>
      </c>
      <c r="B3219" s="6" t="s">
        <v>8511</v>
      </c>
      <c r="C3219" s="6" t="s">
        <v>12</v>
      </c>
      <c r="D3219" s="6" t="s">
        <v>8374</v>
      </c>
      <c r="E3219" s="6" t="s">
        <v>8502</v>
      </c>
      <c r="F3219" s="6" t="s">
        <v>8512</v>
      </c>
      <c r="G3219" s="6" t="s">
        <v>16</v>
      </c>
      <c r="H3219" s="5">
        <v>1</v>
      </c>
      <c r="I3219" s="6" t="s">
        <v>8512</v>
      </c>
      <c r="J3219" s="5">
        <v>540</v>
      </c>
    </row>
    <row r="3220" s="2" customFormat="1" spans="1:10">
      <c r="A3220" s="6">
        <f>3218</f>
        <v>3218</v>
      </c>
      <c r="B3220" s="6" t="s">
        <v>8513</v>
      </c>
      <c r="C3220" s="6" t="s">
        <v>12</v>
      </c>
      <c r="D3220" s="6" t="s">
        <v>8374</v>
      </c>
      <c r="E3220" s="6" t="s">
        <v>8502</v>
      </c>
      <c r="F3220" s="6" t="s">
        <v>8514</v>
      </c>
      <c r="G3220" s="6" t="s">
        <v>16</v>
      </c>
      <c r="H3220" s="5">
        <v>1</v>
      </c>
      <c r="I3220" s="6" t="s">
        <v>8514</v>
      </c>
      <c r="J3220" s="5">
        <v>620</v>
      </c>
    </row>
    <row r="3221" s="2" customFormat="1" spans="1:10">
      <c r="A3221" s="6">
        <f>3219</f>
        <v>3219</v>
      </c>
      <c r="B3221" s="6" t="s">
        <v>8515</v>
      </c>
      <c r="C3221" s="6" t="s">
        <v>12</v>
      </c>
      <c r="D3221" s="6" t="s">
        <v>8374</v>
      </c>
      <c r="E3221" s="6" t="s">
        <v>8502</v>
      </c>
      <c r="F3221" s="6" t="s">
        <v>8516</v>
      </c>
      <c r="G3221" s="6" t="s">
        <v>16</v>
      </c>
      <c r="H3221" s="5">
        <v>3</v>
      </c>
      <c r="I3221" s="6" t="s">
        <v>8517</v>
      </c>
      <c r="J3221" s="5">
        <v>820</v>
      </c>
    </row>
    <row r="3222" s="2" customFormat="1" spans="1:10">
      <c r="A3222" s="6">
        <f>3220</f>
        <v>3220</v>
      </c>
      <c r="B3222" s="6" t="s">
        <v>8518</v>
      </c>
      <c r="C3222" s="6" t="s">
        <v>12</v>
      </c>
      <c r="D3222" s="6" t="s">
        <v>8374</v>
      </c>
      <c r="E3222" s="6" t="s">
        <v>8502</v>
      </c>
      <c r="F3222" s="6" t="s">
        <v>8519</v>
      </c>
      <c r="G3222" s="6" t="s">
        <v>16</v>
      </c>
      <c r="H3222" s="5">
        <v>2</v>
      </c>
      <c r="I3222" s="6" t="s">
        <v>8520</v>
      </c>
      <c r="J3222" s="5">
        <v>980</v>
      </c>
    </row>
    <row r="3223" s="2" customFormat="1" spans="1:10">
      <c r="A3223" s="6">
        <f>3221</f>
        <v>3221</v>
      </c>
      <c r="B3223" s="6" t="s">
        <v>8521</v>
      </c>
      <c r="C3223" s="6" t="s">
        <v>12</v>
      </c>
      <c r="D3223" s="6" t="s">
        <v>8374</v>
      </c>
      <c r="E3223" s="6" t="s">
        <v>8502</v>
      </c>
      <c r="F3223" s="6" t="s">
        <v>8522</v>
      </c>
      <c r="G3223" s="6" t="s">
        <v>16</v>
      </c>
      <c r="H3223" s="5">
        <v>2</v>
      </c>
      <c r="I3223" s="6" t="s">
        <v>8523</v>
      </c>
      <c r="J3223" s="5">
        <v>600</v>
      </c>
    </row>
    <row r="3224" s="2" customFormat="1" spans="1:10">
      <c r="A3224" s="6">
        <f>3222</f>
        <v>3222</v>
      </c>
      <c r="B3224" s="6" t="s">
        <v>8524</v>
      </c>
      <c r="C3224" s="6" t="s">
        <v>12</v>
      </c>
      <c r="D3224" s="6" t="s">
        <v>8374</v>
      </c>
      <c r="E3224" s="6" t="s">
        <v>8502</v>
      </c>
      <c r="F3224" s="6" t="s">
        <v>8525</v>
      </c>
      <c r="G3224" s="6" t="s">
        <v>16</v>
      </c>
      <c r="H3224" s="5">
        <v>1</v>
      </c>
      <c r="I3224" s="6" t="s">
        <v>8525</v>
      </c>
      <c r="J3224" s="5">
        <v>620</v>
      </c>
    </row>
    <row r="3225" s="2" customFormat="1" spans="1:10">
      <c r="A3225" s="6">
        <f>3223</f>
        <v>3223</v>
      </c>
      <c r="B3225" s="6" t="s">
        <v>8526</v>
      </c>
      <c r="C3225" s="6" t="s">
        <v>12</v>
      </c>
      <c r="D3225" s="6" t="s">
        <v>8374</v>
      </c>
      <c r="E3225" s="6" t="s">
        <v>8502</v>
      </c>
      <c r="F3225" s="6" t="s">
        <v>8527</v>
      </c>
      <c r="G3225" s="6" t="s">
        <v>16</v>
      </c>
      <c r="H3225" s="5">
        <v>1</v>
      </c>
      <c r="I3225" s="6" t="s">
        <v>8527</v>
      </c>
      <c r="J3225" s="5">
        <v>540</v>
      </c>
    </row>
    <row r="3226" s="2" customFormat="1" spans="1:10">
      <c r="A3226" s="6">
        <f>3224</f>
        <v>3224</v>
      </c>
      <c r="B3226" s="6" t="s">
        <v>8528</v>
      </c>
      <c r="C3226" s="6" t="s">
        <v>12</v>
      </c>
      <c r="D3226" s="6" t="s">
        <v>8374</v>
      </c>
      <c r="E3226" s="6" t="s">
        <v>8502</v>
      </c>
      <c r="F3226" s="6" t="s">
        <v>8529</v>
      </c>
      <c r="G3226" s="6" t="s">
        <v>16</v>
      </c>
      <c r="H3226" s="5">
        <v>1</v>
      </c>
      <c r="I3226" s="6" t="s">
        <v>8529</v>
      </c>
      <c r="J3226" s="5">
        <v>620</v>
      </c>
    </row>
    <row r="3227" s="2" customFormat="1" ht="27" spans="1:10">
      <c r="A3227" s="6">
        <f>3225</f>
        <v>3225</v>
      </c>
      <c r="B3227" s="6" t="s">
        <v>8530</v>
      </c>
      <c r="C3227" s="6" t="s">
        <v>12</v>
      </c>
      <c r="D3227" s="6" t="s">
        <v>8374</v>
      </c>
      <c r="E3227" s="6" t="s">
        <v>8502</v>
      </c>
      <c r="F3227" s="6" t="s">
        <v>8531</v>
      </c>
      <c r="G3227" s="6" t="s">
        <v>16</v>
      </c>
      <c r="H3227" s="5">
        <v>4</v>
      </c>
      <c r="I3227" s="6" t="s">
        <v>8532</v>
      </c>
      <c r="J3227" s="5">
        <v>1000</v>
      </c>
    </row>
    <row r="3228" s="2" customFormat="1" spans="1:10">
      <c r="A3228" s="6">
        <f>3226</f>
        <v>3226</v>
      </c>
      <c r="B3228" s="6" t="s">
        <v>8533</v>
      </c>
      <c r="C3228" s="6" t="s">
        <v>12</v>
      </c>
      <c r="D3228" s="6" t="s">
        <v>8374</v>
      </c>
      <c r="E3228" s="6" t="s">
        <v>8502</v>
      </c>
      <c r="F3228" s="6" t="s">
        <v>8534</v>
      </c>
      <c r="G3228" s="6" t="s">
        <v>16</v>
      </c>
      <c r="H3228" s="5">
        <v>1</v>
      </c>
      <c r="I3228" s="6" t="s">
        <v>8534</v>
      </c>
      <c r="J3228" s="5">
        <v>287</v>
      </c>
    </row>
    <row r="3229" s="2" customFormat="1" ht="27" spans="1:10">
      <c r="A3229" s="6">
        <f>3227</f>
        <v>3227</v>
      </c>
      <c r="B3229" s="6" t="s">
        <v>8535</v>
      </c>
      <c r="C3229" s="6" t="s">
        <v>12</v>
      </c>
      <c r="D3229" s="6" t="s">
        <v>8374</v>
      </c>
      <c r="E3229" s="6" t="s">
        <v>8502</v>
      </c>
      <c r="F3229" s="6" t="s">
        <v>8536</v>
      </c>
      <c r="G3229" s="6" t="s">
        <v>16</v>
      </c>
      <c r="H3229" s="5">
        <v>4</v>
      </c>
      <c r="I3229" s="6" t="s">
        <v>8537</v>
      </c>
      <c r="J3229" s="5">
        <v>1073</v>
      </c>
    </row>
    <row r="3230" s="2" customFormat="1" spans="1:10">
      <c r="A3230" s="6">
        <f>3228</f>
        <v>3228</v>
      </c>
      <c r="B3230" s="6" t="s">
        <v>8538</v>
      </c>
      <c r="C3230" s="6" t="s">
        <v>12</v>
      </c>
      <c r="D3230" s="6" t="s">
        <v>8374</v>
      </c>
      <c r="E3230" s="6" t="s">
        <v>8502</v>
      </c>
      <c r="F3230" s="6" t="s">
        <v>8539</v>
      </c>
      <c r="G3230" s="6" t="s">
        <v>16</v>
      </c>
      <c r="H3230" s="5">
        <v>2</v>
      </c>
      <c r="I3230" s="6" t="s">
        <v>8540</v>
      </c>
      <c r="J3230" s="5">
        <v>900</v>
      </c>
    </row>
    <row r="3231" s="2" customFormat="1" spans="1:10">
      <c r="A3231" s="6">
        <f>3229</f>
        <v>3229</v>
      </c>
      <c r="B3231" s="6" t="s">
        <v>8541</v>
      </c>
      <c r="C3231" s="6" t="s">
        <v>12</v>
      </c>
      <c r="D3231" s="6" t="s">
        <v>8374</v>
      </c>
      <c r="E3231" s="6" t="s">
        <v>8502</v>
      </c>
      <c r="F3231" s="6" t="s">
        <v>8542</v>
      </c>
      <c r="G3231" s="6" t="s">
        <v>16</v>
      </c>
      <c r="H3231" s="5">
        <v>1</v>
      </c>
      <c r="I3231" s="6" t="s">
        <v>8542</v>
      </c>
      <c r="J3231" s="5">
        <v>540</v>
      </c>
    </row>
    <row r="3232" s="2" customFormat="1" spans="1:10">
      <c r="A3232" s="6">
        <f>3230</f>
        <v>3230</v>
      </c>
      <c r="B3232" s="6" t="s">
        <v>8543</v>
      </c>
      <c r="C3232" s="6" t="s">
        <v>12</v>
      </c>
      <c r="D3232" s="6" t="s">
        <v>8374</v>
      </c>
      <c r="E3232" s="6" t="s">
        <v>8502</v>
      </c>
      <c r="F3232" s="6" t="s">
        <v>8544</v>
      </c>
      <c r="G3232" s="6" t="s">
        <v>16</v>
      </c>
      <c r="H3232" s="5">
        <v>3</v>
      </c>
      <c r="I3232" s="6" t="s">
        <v>8545</v>
      </c>
      <c r="J3232" s="5">
        <v>904</v>
      </c>
    </row>
    <row r="3233" s="2" customFormat="1" spans="1:10">
      <c r="A3233" s="6">
        <f>3231</f>
        <v>3231</v>
      </c>
      <c r="B3233" s="6" t="s">
        <v>8546</v>
      </c>
      <c r="C3233" s="6" t="s">
        <v>12</v>
      </c>
      <c r="D3233" s="6" t="s">
        <v>8374</v>
      </c>
      <c r="E3233" s="6" t="s">
        <v>8502</v>
      </c>
      <c r="F3233" s="6" t="s">
        <v>8547</v>
      </c>
      <c r="G3233" s="6" t="s">
        <v>16</v>
      </c>
      <c r="H3233" s="5">
        <v>1</v>
      </c>
      <c r="I3233" s="6" t="s">
        <v>8547</v>
      </c>
      <c r="J3233" s="5">
        <v>485</v>
      </c>
    </row>
    <row r="3234" s="2" customFormat="1" spans="1:10">
      <c r="A3234" s="6">
        <f>3232</f>
        <v>3232</v>
      </c>
      <c r="B3234" s="6" t="s">
        <v>8548</v>
      </c>
      <c r="C3234" s="6" t="s">
        <v>12</v>
      </c>
      <c r="D3234" s="6" t="s">
        <v>8374</v>
      </c>
      <c r="E3234" s="6" t="s">
        <v>8502</v>
      </c>
      <c r="F3234" s="6" t="s">
        <v>8549</v>
      </c>
      <c r="G3234" s="6" t="s">
        <v>16</v>
      </c>
      <c r="H3234" s="5">
        <v>1</v>
      </c>
      <c r="I3234" s="6" t="s">
        <v>8549</v>
      </c>
      <c r="J3234" s="5">
        <v>398</v>
      </c>
    </row>
    <row r="3235" s="2" customFormat="1" spans="1:10">
      <c r="A3235" s="6">
        <f>3233</f>
        <v>3233</v>
      </c>
      <c r="B3235" s="6" t="s">
        <v>8550</v>
      </c>
      <c r="C3235" s="6" t="s">
        <v>12</v>
      </c>
      <c r="D3235" s="6" t="s">
        <v>8374</v>
      </c>
      <c r="E3235" s="6" t="s">
        <v>8502</v>
      </c>
      <c r="F3235" s="6" t="s">
        <v>8551</v>
      </c>
      <c r="G3235" s="6" t="s">
        <v>16</v>
      </c>
      <c r="H3235" s="5">
        <v>2</v>
      </c>
      <c r="I3235" s="6" t="s">
        <v>8552</v>
      </c>
      <c r="J3235" s="5">
        <v>498</v>
      </c>
    </row>
    <row r="3236" s="2" customFormat="1" spans="1:10">
      <c r="A3236" s="6">
        <f>3234</f>
        <v>3234</v>
      </c>
      <c r="B3236" s="6" t="s">
        <v>8553</v>
      </c>
      <c r="C3236" s="6" t="s">
        <v>12</v>
      </c>
      <c r="D3236" s="6" t="s">
        <v>8374</v>
      </c>
      <c r="E3236" s="6" t="s">
        <v>8502</v>
      </c>
      <c r="F3236" s="6" t="s">
        <v>8554</v>
      </c>
      <c r="G3236" s="6" t="s">
        <v>16</v>
      </c>
      <c r="H3236" s="5">
        <v>3</v>
      </c>
      <c r="I3236" s="6" t="s">
        <v>8555</v>
      </c>
      <c r="J3236" s="5">
        <v>634</v>
      </c>
    </row>
    <row r="3237" s="2" customFormat="1" ht="27" spans="1:10">
      <c r="A3237" s="6">
        <f>3235</f>
        <v>3235</v>
      </c>
      <c r="B3237" s="6" t="s">
        <v>8556</v>
      </c>
      <c r="C3237" s="6" t="s">
        <v>12</v>
      </c>
      <c r="D3237" s="6" t="s">
        <v>8374</v>
      </c>
      <c r="E3237" s="6" t="s">
        <v>8502</v>
      </c>
      <c r="F3237" s="6" t="s">
        <v>8557</v>
      </c>
      <c r="G3237" s="6" t="s">
        <v>16</v>
      </c>
      <c r="H3237" s="5">
        <v>5</v>
      </c>
      <c r="I3237" s="6" t="s">
        <v>8558</v>
      </c>
      <c r="J3237" s="5">
        <v>900</v>
      </c>
    </row>
    <row r="3238" s="2" customFormat="1" spans="1:10">
      <c r="A3238" s="6">
        <f>3236</f>
        <v>3236</v>
      </c>
      <c r="B3238" s="6" t="s">
        <v>8559</v>
      </c>
      <c r="C3238" s="6" t="s">
        <v>12</v>
      </c>
      <c r="D3238" s="6" t="s">
        <v>8374</v>
      </c>
      <c r="E3238" s="6" t="s">
        <v>8502</v>
      </c>
      <c r="F3238" s="6" t="s">
        <v>8560</v>
      </c>
      <c r="G3238" s="6" t="s">
        <v>16</v>
      </c>
      <c r="H3238" s="5">
        <v>2</v>
      </c>
      <c r="I3238" s="6" t="s">
        <v>8561</v>
      </c>
      <c r="J3238" s="5">
        <v>348</v>
      </c>
    </row>
    <row r="3239" s="2" customFormat="1" spans="1:10">
      <c r="A3239" s="6">
        <f>3237</f>
        <v>3237</v>
      </c>
      <c r="B3239" s="6" t="s">
        <v>8562</v>
      </c>
      <c r="C3239" s="6" t="s">
        <v>12</v>
      </c>
      <c r="D3239" s="6" t="s">
        <v>8374</v>
      </c>
      <c r="E3239" s="6" t="s">
        <v>8502</v>
      </c>
      <c r="F3239" s="6" t="s">
        <v>8563</v>
      </c>
      <c r="G3239" s="6" t="s">
        <v>16</v>
      </c>
      <c r="H3239" s="5">
        <v>3</v>
      </c>
      <c r="I3239" s="6" t="s">
        <v>8564</v>
      </c>
      <c r="J3239" s="5">
        <v>634</v>
      </c>
    </row>
    <row r="3240" s="2" customFormat="1" spans="1:10">
      <c r="A3240" s="6">
        <f>3238</f>
        <v>3238</v>
      </c>
      <c r="B3240" s="6" t="s">
        <v>8565</v>
      </c>
      <c r="C3240" s="6" t="s">
        <v>12</v>
      </c>
      <c r="D3240" s="6" t="s">
        <v>8374</v>
      </c>
      <c r="E3240" s="6" t="s">
        <v>8502</v>
      </c>
      <c r="F3240" s="6" t="s">
        <v>8566</v>
      </c>
      <c r="G3240" s="6" t="s">
        <v>16</v>
      </c>
      <c r="H3240" s="5">
        <v>2</v>
      </c>
      <c r="I3240" s="6" t="s">
        <v>8567</v>
      </c>
      <c r="J3240" s="5">
        <v>432</v>
      </c>
    </row>
    <row r="3241" s="2" customFormat="1" spans="1:10">
      <c r="A3241" s="6">
        <f>3239</f>
        <v>3239</v>
      </c>
      <c r="B3241" s="6" t="s">
        <v>8568</v>
      </c>
      <c r="C3241" s="6" t="s">
        <v>12</v>
      </c>
      <c r="D3241" s="6" t="s">
        <v>8374</v>
      </c>
      <c r="E3241" s="6" t="s">
        <v>8502</v>
      </c>
      <c r="F3241" s="6" t="s">
        <v>8569</v>
      </c>
      <c r="G3241" s="6" t="s">
        <v>16</v>
      </c>
      <c r="H3241" s="5">
        <v>1</v>
      </c>
      <c r="I3241" s="6" t="s">
        <v>8569</v>
      </c>
      <c r="J3241" s="5">
        <v>440</v>
      </c>
    </row>
    <row r="3242" s="2" customFormat="1" ht="27" spans="1:10">
      <c r="A3242" s="6">
        <f>3240</f>
        <v>3240</v>
      </c>
      <c r="B3242" s="6" t="s">
        <v>8570</v>
      </c>
      <c r="C3242" s="6" t="s">
        <v>12</v>
      </c>
      <c r="D3242" s="6" t="s">
        <v>8374</v>
      </c>
      <c r="E3242" s="6" t="s">
        <v>8502</v>
      </c>
      <c r="F3242" s="6" t="s">
        <v>8571</v>
      </c>
      <c r="G3242" s="6" t="s">
        <v>16</v>
      </c>
      <c r="H3242" s="5">
        <v>4</v>
      </c>
      <c r="I3242" s="6" t="s">
        <v>8572</v>
      </c>
      <c r="J3242" s="5">
        <v>740</v>
      </c>
    </row>
    <row r="3243" s="2" customFormat="1" spans="1:10">
      <c r="A3243" s="6">
        <f>3241</f>
        <v>3241</v>
      </c>
      <c r="B3243" s="6" t="s">
        <v>8573</v>
      </c>
      <c r="C3243" s="6" t="s">
        <v>12</v>
      </c>
      <c r="D3243" s="6" t="s">
        <v>8374</v>
      </c>
      <c r="E3243" s="6" t="s">
        <v>8502</v>
      </c>
      <c r="F3243" s="6" t="s">
        <v>8574</v>
      </c>
      <c r="G3243" s="6" t="s">
        <v>16</v>
      </c>
      <c r="H3243" s="5">
        <v>2</v>
      </c>
      <c r="I3243" s="6" t="s">
        <v>8575</v>
      </c>
      <c r="J3243" s="5">
        <v>920</v>
      </c>
    </row>
    <row r="3244" s="2" customFormat="1" spans="1:10">
      <c r="A3244" s="6">
        <f>3242</f>
        <v>3242</v>
      </c>
      <c r="B3244" s="6" t="s">
        <v>8576</v>
      </c>
      <c r="C3244" s="6" t="s">
        <v>12</v>
      </c>
      <c r="D3244" s="6" t="s">
        <v>8374</v>
      </c>
      <c r="E3244" s="6" t="s">
        <v>8502</v>
      </c>
      <c r="F3244" s="6" t="s">
        <v>8577</v>
      </c>
      <c r="G3244" s="6" t="s">
        <v>16</v>
      </c>
      <c r="H3244" s="5">
        <v>2</v>
      </c>
      <c r="I3244" s="6" t="s">
        <v>8578</v>
      </c>
      <c r="J3244" s="5">
        <v>550</v>
      </c>
    </row>
    <row r="3245" s="2" customFormat="1" ht="27" spans="1:10">
      <c r="A3245" s="6">
        <f>3243</f>
        <v>3243</v>
      </c>
      <c r="B3245" s="6" t="s">
        <v>8579</v>
      </c>
      <c r="C3245" s="6" t="s">
        <v>12</v>
      </c>
      <c r="D3245" s="6" t="s">
        <v>8374</v>
      </c>
      <c r="E3245" s="6" t="s">
        <v>8502</v>
      </c>
      <c r="F3245" s="6" t="s">
        <v>8580</v>
      </c>
      <c r="G3245" s="6" t="s">
        <v>16</v>
      </c>
      <c r="H3245" s="5">
        <v>4</v>
      </c>
      <c r="I3245" s="6" t="s">
        <v>8581</v>
      </c>
      <c r="J3245" s="5">
        <v>912</v>
      </c>
    </row>
    <row r="3246" s="2" customFormat="1" spans="1:10">
      <c r="A3246" s="6">
        <f>3244</f>
        <v>3244</v>
      </c>
      <c r="B3246" s="6" t="s">
        <v>8582</v>
      </c>
      <c r="C3246" s="6" t="s">
        <v>12</v>
      </c>
      <c r="D3246" s="6" t="s">
        <v>8374</v>
      </c>
      <c r="E3246" s="6" t="s">
        <v>8502</v>
      </c>
      <c r="F3246" s="6" t="s">
        <v>8583</v>
      </c>
      <c r="G3246" s="6" t="s">
        <v>16</v>
      </c>
      <c r="H3246" s="5">
        <v>2</v>
      </c>
      <c r="I3246" s="6" t="s">
        <v>8584</v>
      </c>
      <c r="J3246" s="5">
        <v>920</v>
      </c>
    </row>
    <row r="3247" s="2" customFormat="1" spans="1:10">
      <c r="A3247" s="6">
        <f>3245</f>
        <v>3245</v>
      </c>
      <c r="B3247" s="6" t="s">
        <v>8585</v>
      </c>
      <c r="C3247" s="6" t="s">
        <v>12</v>
      </c>
      <c r="D3247" s="6" t="s">
        <v>8374</v>
      </c>
      <c r="E3247" s="6" t="s">
        <v>8502</v>
      </c>
      <c r="F3247" s="6" t="s">
        <v>8586</v>
      </c>
      <c r="G3247" s="6" t="s">
        <v>16</v>
      </c>
      <c r="H3247" s="5">
        <v>2</v>
      </c>
      <c r="I3247" s="6" t="s">
        <v>8587</v>
      </c>
      <c r="J3247" s="5">
        <v>680</v>
      </c>
    </row>
    <row r="3248" s="2" customFormat="1" spans="1:10">
      <c r="A3248" s="6">
        <f>3246</f>
        <v>3246</v>
      </c>
      <c r="B3248" s="6" t="s">
        <v>8588</v>
      </c>
      <c r="C3248" s="6" t="s">
        <v>12</v>
      </c>
      <c r="D3248" s="6" t="s">
        <v>8374</v>
      </c>
      <c r="E3248" s="6" t="s">
        <v>8589</v>
      </c>
      <c r="F3248" s="6" t="s">
        <v>8590</v>
      </c>
      <c r="G3248" s="6" t="s">
        <v>16</v>
      </c>
      <c r="H3248" s="5">
        <v>3</v>
      </c>
      <c r="I3248" s="6" t="s">
        <v>8591</v>
      </c>
      <c r="J3248" s="5">
        <v>1220</v>
      </c>
    </row>
    <row r="3249" s="2" customFormat="1" spans="1:10">
      <c r="A3249" s="6">
        <f>3247</f>
        <v>3247</v>
      </c>
      <c r="B3249" s="6" t="s">
        <v>8592</v>
      </c>
      <c r="C3249" s="6" t="s">
        <v>12</v>
      </c>
      <c r="D3249" s="6" t="s">
        <v>8374</v>
      </c>
      <c r="E3249" s="6" t="s">
        <v>8589</v>
      </c>
      <c r="F3249" s="6" t="s">
        <v>8593</v>
      </c>
      <c r="G3249" s="6" t="s">
        <v>16</v>
      </c>
      <c r="H3249" s="5">
        <v>1</v>
      </c>
      <c r="I3249" s="6" t="s">
        <v>8593</v>
      </c>
      <c r="J3249" s="5">
        <v>620</v>
      </c>
    </row>
    <row r="3250" s="2" customFormat="1" spans="1:10">
      <c r="A3250" s="6">
        <f>3248</f>
        <v>3248</v>
      </c>
      <c r="B3250" s="6" t="s">
        <v>8594</v>
      </c>
      <c r="C3250" s="6" t="s">
        <v>12</v>
      </c>
      <c r="D3250" s="6" t="s">
        <v>8374</v>
      </c>
      <c r="E3250" s="6" t="s">
        <v>8589</v>
      </c>
      <c r="F3250" s="6" t="s">
        <v>8595</v>
      </c>
      <c r="G3250" s="6" t="s">
        <v>16</v>
      </c>
      <c r="H3250" s="5">
        <v>2</v>
      </c>
      <c r="I3250" s="6" t="s">
        <v>8596</v>
      </c>
      <c r="J3250" s="5">
        <v>1000</v>
      </c>
    </row>
    <row r="3251" s="2" customFormat="1" spans="1:10">
      <c r="A3251" s="6">
        <f>3249</f>
        <v>3249</v>
      </c>
      <c r="B3251" s="6" t="s">
        <v>8597</v>
      </c>
      <c r="C3251" s="6" t="s">
        <v>12</v>
      </c>
      <c r="D3251" s="6" t="s">
        <v>8374</v>
      </c>
      <c r="E3251" s="6" t="s">
        <v>8589</v>
      </c>
      <c r="F3251" s="6" t="s">
        <v>8598</v>
      </c>
      <c r="G3251" s="6" t="s">
        <v>16</v>
      </c>
      <c r="H3251" s="5">
        <v>3</v>
      </c>
      <c r="I3251" s="6" t="s">
        <v>8599</v>
      </c>
      <c r="J3251" s="5">
        <v>1650</v>
      </c>
    </row>
    <row r="3252" s="2" customFormat="1" spans="1:10">
      <c r="A3252" s="6">
        <f>3250</f>
        <v>3250</v>
      </c>
      <c r="B3252" s="6" t="s">
        <v>8600</v>
      </c>
      <c r="C3252" s="6" t="s">
        <v>12</v>
      </c>
      <c r="D3252" s="6" t="s">
        <v>8374</v>
      </c>
      <c r="E3252" s="6" t="s">
        <v>8589</v>
      </c>
      <c r="F3252" s="6" t="s">
        <v>8601</v>
      </c>
      <c r="G3252" s="6" t="s">
        <v>16</v>
      </c>
      <c r="H3252" s="5">
        <v>2</v>
      </c>
      <c r="I3252" s="6" t="s">
        <v>8602</v>
      </c>
      <c r="J3252" s="5">
        <v>440</v>
      </c>
    </row>
    <row r="3253" s="2" customFormat="1" spans="1:10">
      <c r="A3253" s="6">
        <f>3251</f>
        <v>3251</v>
      </c>
      <c r="B3253" s="6" t="s">
        <v>8603</v>
      </c>
      <c r="C3253" s="6" t="s">
        <v>12</v>
      </c>
      <c r="D3253" s="6" t="s">
        <v>8374</v>
      </c>
      <c r="E3253" s="6" t="s">
        <v>8589</v>
      </c>
      <c r="F3253" s="6" t="s">
        <v>8604</v>
      </c>
      <c r="G3253" s="6" t="s">
        <v>16</v>
      </c>
      <c r="H3253" s="5">
        <v>3</v>
      </c>
      <c r="I3253" s="6" t="s">
        <v>8605</v>
      </c>
      <c r="J3253" s="5">
        <v>630</v>
      </c>
    </row>
    <row r="3254" s="2" customFormat="1" spans="1:10">
      <c r="A3254" s="6">
        <f>3252</f>
        <v>3252</v>
      </c>
      <c r="B3254" s="6" t="s">
        <v>8606</v>
      </c>
      <c r="C3254" s="6" t="s">
        <v>12</v>
      </c>
      <c r="D3254" s="6" t="s">
        <v>8374</v>
      </c>
      <c r="E3254" s="6" t="s">
        <v>8589</v>
      </c>
      <c r="F3254" s="6" t="s">
        <v>8607</v>
      </c>
      <c r="G3254" s="6" t="s">
        <v>16</v>
      </c>
      <c r="H3254" s="5">
        <v>3</v>
      </c>
      <c r="I3254" s="6" t="s">
        <v>8608</v>
      </c>
      <c r="J3254" s="5">
        <v>610</v>
      </c>
    </row>
    <row r="3255" s="2" customFormat="1" spans="1:10">
      <c r="A3255" s="6">
        <f>3253</f>
        <v>3253</v>
      </c>
      <c r="B3255" s="6" t="s">
        <v>8609</v>
      </c>
      <c r="C3255" s="6" t="s">
        <v>12</v>
      </c>
      <c r="D3255" s="6" t="s">
        <v>8374</v>
      </c>
      <c r="E3255" s="6" t="s">
        <v>8589</v>
      </c>
      <c r="F3255" s="6" t="s">
        <v>8610</v>
      </c>
      <c r="G3255" s="6" t="s">
        <v>16</v>
      </c>
      <c r="H3255" s="5">
        <v>2</v>
      </c>
      <c r="I3255" s="6" t="s">
        <v>8611</v>
      </c>
      <c r="J3255" s="5">
        <v>740</v>
      </c>
    </row>
    <row r="3256" s="2" customFormat="1" spans="1:10">
      <c r="A3256" s="6">
        <f>3254</f>
        <v>3254</v>
      </c>
      <c r="B3256" s="6" t="s">
        <v>8612</v>
      </c>
      <c r="C3256" s="6" t="s">
        <v>12</v>
      </c>
      <c r="D3256" s="6" t="s">
        <v>8374</v>
      </c>
      <c r="E3256" s="6" t="s">
        <v>8589</v>
      </c>
      <c r="F3256" s="6" t="s">
        <v>8613</v>
      </c>
      <c r="G3256" s="6" t="s">
        <v>16</v>
      </c>
      <c r="H3256" s="5">
        <v>3</v>
      </c>
      <c r="I3256" s="6" t="s">
        <v>8614</v>
      </c>
      <c r="J3256" s="5">
        <v>1520</v>
      </c>
    </row>
    <row r="3257" s="2" customFormat="1" spans="1:10">
      <c r="A3257" s="6">
        <f>3255</f>
        <v>3255</v>
      </c>
      <c r="B3257" s="6" t="s">
        <v>8615</v>
      </c>
      <c r="C3257" s="6" t="s">
        <v>12</v>
      </c>
      <c r="D3257" s="6" t="s">
        <v>8374</v>
      </c>
      <c r="E3257" s="6" t="s">
        <v>8589</v>
      </c>
      <c r="F3257" s="6" t="s">
        <v>8616</v>
      </c>
      <c r="G3257" s="6" t="s">
        <v>16</v>
      </c>
      <c r="H3257" s="5">
        <v>3</v>
      </c>
      <c r="I3257" s="6" t="s">
        <v>8617</v>
      </c>
      <c r="J3257" s="5">
        <v>1140</v>
      </c>
    </row>
    <row r="3258" s="2" customFormat="1" spans="1:10">
      <c r="A3258" s="6">
        <f>3256</f>
        <v>3256</v>
      </c>
      <c r="B3258" s="6" t="s">
        <v>8618</v>
      </c>
      <c r="C3258" s="6" t="s">
        <v>12</v>
      </c>
      <c r="D3258" s="6" t="s">
        <v>8374</v>
      </c>
      <c r="E3258" s="6" t="s">
        <v>8589</v>
      </c>
      <c r="F3258" s="6" t="s">
        <v>8619</v>
      </c>
      <c r="G3258" s="6" t="s">
        <v>16</v>
      </c>
      <c r="H3258" s="5">
        <v>1</v>
      </c>
      <c r="I3258" s="6" t="s">
        <v>8619</v>
      </c>
      <c r="J3258" s="5">
        <v>540</v>
      </c>
    </row>
    <row r="3259" s="2" customFormat="1" spans="1:10">
      <c r="A3259" s="6">
        <f>3257</f>
        <v>3257</v>
      </c>
      <c r="B3259" s="6" t="s">
        <v>8620</v>
      </c>
      <c r="C3259" s="6" t="s">
        <v>12</v>
      </c>
      <c r="D3259" s="6" t="s">
        <v>8374</v>
      </c>
      <c r="E3259" s="6" t="s">
        <v>8589</v>
      </c>
      <c r="F3259" s="6" t="s">
        <v>8621</v>
      </c>
      <c r="G3259" s="6" t="s">
        <v>16</v>
      </c>
      <c r="H3259" s="5">
        <v>3</v>
      </c>
      <c r="I3259" s="6" t="s">
        <v>8622</v>
      </c>
      <c r="J3259" s="5">
        <v>1500</v>
      </c>
    </row>
    <row r="3260" s="2" customFormat="1" ht="27" spans="1:10">
      <c r="A3260" s="6">
        <f>3258</f>
        <v>3258</v>
      </c>
      <c r="B3260" s="6" t="s">
        <v>8623</v>
      </c>
      <c r="C3260" s="6" t="s">
        <v>12</v>
      </c>
      <c r="D3260" s="6" t="s">
        <v>8374</v>
      </c>
      <c r="E3260" s="6" t="s">
        <v>8589</v>
      </c>
      <c r="F3260" s="6" t="s">
        <v>8624</v>
      </c>
      <c r="G3260" s="6" t="s">
        <v>16</v>
      </c>
      <c r="H3260" s="5">
        <v>5</v>
      </c>
      <c r="I3260" s="6" t="s">
        <v>8625</v>
      </c>
      <c r="J3260" s="5">
        <v>1075</v>
      </c>
    </row>
    <row r="3261" s="2" customFormat="1" ht="27" spans="1:10">
      <c r="A3261" s="6">
        <f>3259</f>
        <v>3259</v>
      </c>
      <c r="B3261" s="6" t="s">
        <v>8626</v>
      </c>
      <c r="C3261" s="6" t="s">
        <v>12</v>
      </c>
      <c r="D3261" s="6" t="s">
        <v>8374</v>
      </c>
      <c r="E3261" s="6" t="s">
        <v>8589</v>
      </c>
      <c r="F3261" s="6" t="s">
        <v>8627</v>
      </c>
      <c r="G3261" s="6" t="s">
        <v>16</v>
      </c>
      <c r="H3261" s="5">
        <v>5</v>
      </c>
      <c r="I3261" s="6" t="s">
        <v>8628</v>
      </c>
      <c r="J3261" s="5">
        <v>1090</v>
      </c>
    </row>
    <row r="3262" s="2" customFormat="1" spans="1:10">
      <c r="A3262" s="6">
        <f>3260</f>
        <v>3260</v>
      </c>
      <c r="B3262" s="6" t="s">
        <v>8629</v>
      </c>
      <c r="C3262" s="6" t="s">
        <v>12</v>
      </c>
      <c r="D3262" s="6" t="s">
        <v>8374</v>
      </c>
      <c r="E3262" s="6" t="s">
        <v>8589</v>
      </c>
      <c r="F3262" s="6" t="s">
        <v>8630</v>
      </c>
      <c r="G3262" s="6" t="s">
        <v>16</v>
      </c>
      <c r="H3262" s="5">
        <v>1</v>
      </c>
      <c r="I3262" s="6" t="s">
        <v>8630</v>
      </c>
      <c r="J3262" s="5">
        <v>397</v>
      </c>
    </row>
    <row r="3263" s="2" customFormat="1" spans="1:10">
      <c r="A3263" s="6">
        <f>3261</f>
        <v>3261</v>
      </c>
      <c r="B3263" s="6" t="s">
        <v>8631</v>
      </c>
      <c r="C3263" s="6" t="s">
        <v>12</v>
      </c>
      <c r="D3263" s="6" t="s">
        <v>8374</v>
      </c>
      <c r="E3263" s="6" t="s">
        <v>8589</v>
      </c>
      <c r="F3263" s="6" t="s">
        <v>8632</v>
      </c>
      <c r="G3263" s="6" t="s">
        <v>16</v>
      </c>
      <c r="H3263" s="5">
        <v>3</v>
      </c>
      <c r="I3263" s="6" t="s">
        <v>8633</v>
      </c>
      <c r="J3263" s="5">
        <v>586</v>
      </c>
    </row>
    <row r="3264" s="2" customFormat="1" spans="1:10">
      <c r="A3264" s="6">
        <f>3262</f>
        <v>3262</v>
      </c>
      <c r="B3264" s="6" t="s">
        <v>8634</v>
      </c>
      <c r="C3264" s="6" t="s">
        <v>12</v>
      </c>
      <c r="D3264" s="6" t="s">
        <v>8374</v>
      </c>
      <c r="E3264" s="6" t="s">
        <v>8589</v>
      </c>
      <c r="F3264" s="6" t="s">
        <v>8635</v>
      </c>
      <c r="G3264" s="6" t="s">
        <v>16</v>
      </c>
      <c r="H3264" s="5">
        <v>1</v>
      </c>
      <c r="I3264" s="6" t="s">
        <v>8635</v>
      </c>
      <c r="J3264" s="5">
        <v>265</v>
      </c>
    </row>
    <row r="3265" s="2" customFormat="1" spans="1:10">
      <c r="A3265" s="6">
        <f>3263</f>
        <v>3263</v>
      </c>
      <c r="B3265" s="6" t="s">
        <v>8636</v>
      </c>
      <c r="C3265" s="6" t="s">
        <v>12</v>
      </c>
      <c r="D3265" s="6" t="s">
        <v>8374</v>
      </c>
      <c r="E3265" s="6" t="s">
        <v>8589</v>
      </c>
      <c r="F3265" s="6" t="s">
        <v>8637</v>
      </c>
      <c r="G3265" s="6" t="s">
        <v>16</v>
      </c>
      <c r="H3265" s="5">
        <v>1</v>
      </c>
      <c r="I3265" s="6" t="s">
        <v>8637</v>
      </c>
      <c r="J3265" s="5">
        <v>335</v>
      </c>
    </row>
    <row r="3266" s="2" customFormat="1" spans="1:10">
      <c r="A3266" s="6">
        <f>3264</f>
        <v>3264</v>
      </c>
      <c r="B3266" s="6" t="s">
        <v>8638</v>
      </c>
      <c r="C3266" s="6" t="s">
        <v>12</v>
      </c>
      <c r="D3266" s="6" t="s">
        <v>8374</v>
      </c>
      <c r="E3266" s="6" t="s">
        <v>8589</v>
      </c>
      <c r="F3266" s="6" t="s">
        <v>8639</v>
      </c>
      <c r="G3266" s="6" t="s">
        <v>16</v>
      </c>
      <c r="H3266" s="5">
        <v>1</v>
      </c>
      <c r="I3266" s="6" t="s">
        <v>8639</v>
      </c>
      <c r="J3266" s="5">
        <v>243</v>
      </c>
    </row>
    <row r="3267" s="2" customFormat="1" spans="1:10">
      <c r="A3267" s="6">
        <f>3265</f>
        <v>3265</v>
      </c>
      <c r="B3267" s="6" t="s">
        <v>8640</v>
      </c>
      <c r="C3267" s="6" t="s">
        <v>12</v>
      </c>
      <c r="D3267" s="6" t="s">
        <v>8374</v>
      </c>
      <c r="E3267" s="6" t="s">
        <v>8589</v>
      </c>
      <c r="F3267" s="6" t="s">
        <v>8641</v>
      </c>
      <c r="G3267" s="6" t="s">
        <v>16</v>
      </c>
      <c r="H3267" s="5">
        <v>3</v>
      </c>
      <c r="I3267" s="6" t="s">
        <v>8642</v>
      </c>
      <c r="J3267" s="5">
        <v>885</v>
      </c>
    </row>
    <row r="3268" s="2" customFormat="1" spans="1:10">
      <c r="A3268" s="6">
        <f>3266</f>
        <v>3266</v>
      </c>
      <c r="B3268" s="6" t="s">
        <v>8643</v>
      </c>
      <c r="C3268" s="6" t="s">
        <v>12</v>
      </c>
      <c r="D3268" s="6" t="s">
        <v>8374</v>
      </c>
      <c r="E3268" s="6" t="s">
        <v>8589</v>
      </c>
      <c r="F3268" s="6" t="s">
        <v>8644</v>
      </c>
      <c r="G3268" s="6" t="s">
        <v>16</v>
      </c>
      <c r="H3268" s="5">
        <v>3</v>
      </c>
      <c r="I3268" s="6" t="s">
        <v>8645</v>
      </c>
      <c r="J3268" s="5">
        <v>788</v>
      </c>
    </row>
    <row r="3269" s="2" customFormat="1" spans="1:10">
      <c r="A3269" s="6">
        <f>3267</f>
        <v>3267</v>
      </c>
      <c r="B3269" s="6" t="s">
        <v>8646</v>
      </c>
      <c r="C3269" s="6" t="s">
        <v>12</v>
      </c>
      <c r="D3269" s="6" t="s">
        <v>8374</v>
      </c>
      <c r="E3269" s="6" t="s">
        <v>8589</v>
      </c>
      <c r="F3269" s="6" t="s">
        <v>8647</v>
      </c>
      <c r="G3269" s="6" t="s">
        <v>16</v>
      </c>
      <c r="H3269" s="5">
        <v>3</v>
      </c>
      <c r="I3269" s="6" t="s">
        <v>8648</v>
      </c>
      <c r="J3269" s="5">
        <v>760</v>
      </c>
    </row>
    <row r="3270" s="2" customFormat="1" spans="1:10">
      <c r="A3270" s="6">
        <f>3268</f>
        <v>3268</v>
      </c>
      <c r="B3270" s="6" t="s">
        <v>8649</v>
      </c>
      <c r="C3270" s="6" t="s">
        <v>12</v>
      </c>
      <c r="D3270" s="6" t="s">
        <v>8374</v>
      </c>
      <c r="E3270" s="6" t="s">
        <v>8589</v>
      </c>
      <c r="F3270" s="6" t="s">
        <v>8650</v>
      </c>
      <c r="G3270" s="6" t="s">
        <v>16</v>
      </c>
      <c r="H3270" s="5">
        <v>2</v>
      </c>
      <c r="I3270" s="6" t="s">
        <v>8651</v>
      </c>
      <c r="J3270" s="5">
        <v>520</v>
      </c>
    </row>
    <row r="3271" s="2" customFormat="1" spans="1:10">
      <c r="A3271" s="6">
        <f>3269</f>
        <v>3269</v>
      </c>
      <c r="B3271" s="6" t="s">
        <v>8652</v>
      </c>
      <c r="C3271" s="6" t="s">
        <v>12</v>
      </c>
      <c r="D3271" s="6" t="s">
        <v>8374</v>
      </c>
      <c r="E3271" s="6" t="s">
        <v>8589</v>
      </c>
      <c r="F3271" s="6" t="s">
        <v>8653</v>
      </c>
      <c r="G3271" s="6" t="s">
        <v>16</v>
      </c>
      <c r="H3271" s="5">
        <v>1</v>
      </c>
      <c r="I3271" s="6" t="s">
        <v>8653</v>
      </c>
      <c r="J3271" s="5">
        <v>356</v>
      </c>
    </row>
    <row r="3272" s="2" customFormat="1" spans="1:10">
      <c r="A3272" s="6">
        <f>3270</f>
        <v>3270</v>
      </c>
      <c r="B3272" s="6" t="s">
        <v>8654</v>
      </c>
      <c r="C3272" s="6" t="s">
        <v>12</v>
      </c>
      <c r="D3272" s="6" t="s">
        <v>8374</v>
      </c>
      <c r="E3272" s="6" t="s">
        <v>8589</v>
      </c>
      <c r="F3272" s="6" t="s">
        <v>8655</v>
      </c>
      <c r="G3272" s="6" t="s">
        <v>16</v>
      </c>
      <c r="H3272" s="5">
        <v>1</v>
      </c>
      <c r="I3272" s="6" t="s">
        <v>8655</v>
      </c>
      <c r="J3272" s="5">
        <v>445</v>
      </c>
    </row>
    <row r="3273" s="2" customFormat="1" spans="1:10">
      <c r="A3273" s="6">
        <f>3271</f>
        <v>3271</v>
      </c>
      <c r="B3273" s="6" t="s">
        <v>8656</v>
      </c>
      <c r="C3273" s="6" t="s">
        <v>12</v>
      </c>
      <c r="D3273" s="6" t="s">
        <v>8374</v>
      </c>
      <c r="E3273" s="6" t="s">
        <v>8589</v>
      </c>
      <c r="F3273" s="6" t="s">
        <v>8657</v>
      </c>
      <c r="G3273" s="6" t="s">
        <v>16</v>
      </c>
      <c r="H3273" s="5">
        <v>3</v>
      </c>
      <c r="I3273" s="6" t="s">
        <v>8658</v>
      </c>
      <c r="J3273" s="5">
        <v>788</v>
      </c>
    </row>
    <row r="3274" s="2" customFormat="1" spans="1:10">
      <c r="A3274" s="6">
        <f>3272</f>
        <v>3272</v>
      </c>
      <c r="B3274" s="6" t="s">
        <v>8659</v>
      </c>
      <c r="C3274" s="6" t="s">
        <v>12</v>
      </c>
      <c r="D3274" s="6" t="s">
        <v>8374</v>
      </c>
      <c r="E3274" s="6" t="s">
        <v>8589</v>
      </c>
      <c r="F3274" s="6" t="s">
        <v>8660</v>
      </c>
      <c r="G3274" s="6" t="s">
        <v>16</v>
      </c>
      <c r="H3274" s="5">
        <v>1</v>
      </c>
      <c r="I3274" s="6" t="s">
        <v>8660</v>
      </c>
      <c r="J3274" s="5">
        <v>400</v>
      </c>
    </row>
    <row r="3275" s="2" customFormat="1" ht="27" spans="1:10">
      <c r="A3275" s="6">
        <f>3273</f>
        <v>3273</v>
      </c>
      <c r="B3275" s="6" t="s">
        <v>8661</v>
      </c>
      <c r="C3275" s="6" t="s">
        <v>12</v>
      </c>
      <c r="D3275" s="6" t="s">
        <v>8374</v>
      </c>
      <c r="E3275" s="6" t="s">
        <v>8589</v>
      </c>
      <c r="F3275" s="6" t="s">
        <v>8662</v>
      </c>
      <c r="G3275" s="6" t="s">
        <v>16</v>
      </c>
      <c r="H3275" s="5">
        <v>5</v>
      </c>
      <c r="I3275" s="6" t="s">
        <v>8663</v>
      </c>
      <c r="J3275" s="5">
        <v>1025</v>
      </c>
    </row>
    <row r="3276" s="2" customFormat="1" spans="1:10">
      <c r="A3276" s="6">
        <f>3274</f>
        <v>3274</v>
      </c>
      <c r="B3276" s="6" t="s">
        <v>8664</v>
      </c>
      <c r="C3276" s="6" t="s">
        <v>12</v>
      </c>
      <c r="D3276" s="6" t="s">
        <v>8374</v>
      </c>
      <c r="E3276" s="6" t="s">
        <v>8589</v>
      </c>
      <c r="F3276" s="6" t="s">
        <v>8665</v>
      </c>
      <c r="G3276" s="6" t="s">
        <v>16</v>
      </c>
      <c r="H3276" s="5">
        <v>2</v>
      </c>
      <c r="I3276" s="6" t="s">
        <v>8666</v>
      </c>
      <c r="J3276" s="5">
        <v>900</v>
      </c>
    </row>
    <row r="3277" s="2" customFormat="1" spans="1:10">
      <c r="A3277" s="6">
        <f>3275</f>
        <v>3275</v>
      </c>
      <c r="B3277" s="6" t="s">
        <v>8667</v>
      </c>
      <c r="C3277" s="6" t="s">
        <v>12</v>
      </c>
      <c r="D3277" s="6" t="s">
        <v>8374</v>
      </c>
      <c r="E3277" s="6" t="s">
        <v>8589</v>
      </c>
      <c r="F3277" s="6" t="s">
        <v>8668</v>
      </c>
      <c r="G3277" s="6" t="s">
        <v>16</v>
      </c>
      <c r="H3277" s="5">
        <v>2</v>
      </c>
      <c r="I3277" s="6" t="s">
        <v>8669</v>
      </c>
      <c r="J3277" s="5">
        <v>645</v>
      </c>
    </row>
    <row r="3278" s="2" customFormat="1" ht="27" spans="1:10">
      <c r="A3278" s="6">
        <f>3276</f>
        <v>3276</v>
      </c>
      <c r="B3278" s="6" t="s">
        <v>8670</v>
      </c>
      <c r="C3278" s="6" t="s">
        <v>12</v>
      </c>
      <c r="D3278" s="6" t="s">
        <v>8374</v>
      </c>
      <c r="E3278" s="6" t="s">
        <v>8589</v>
      </c>
      <c r="F3278" s="6" t="s">
        <v>8671</v>
      </c>
      <c r="G3278" s="6" t="s">
        <v>16</v>
      </c>
      <c r="H3278" s="5">
        <v>4</v>
      </c>
      <c r="I3278" s="6" t="s">
        <v>8672</v>
      </c>
      <c r="J3278" s="5">
        <v>695</v>
      </c>
    </row>
    <row r="3279" s="2" customFormat="1" spans="1:10">
      <c r="A3279" s="6">
        <f>3277</f>
        <v>3277</v>
      </c>
      <c r="B3279" s="6" t="s">
        <v>8673</v>
      </c>
      <c r="C3279" s="6" t="s">
        <v>12</v>
      </c>
      <c r="D3279" s="6" t="s">
        <v>8374</v>
      </c>
      <c r="E3279" s="6" t="s">
        <v>8589</v>
      </c>
      <c r="F3279" s="6" t="s">
        <v>8674</v>
      </c>
      <c r="G3279" s="6" t="s">
        <v>16</v>
      </c>
      <c r="H3279" s="5">
        <v>1</v>
      </c>
      <c r="I3279" s="6" t="s">
        <v>8674</v>
      </c>
      <c r="J3279" s="5">
        <v>345</v>
      </c>
    </row>
    <row r="3280" s="2" customFormat="1" spans="1:10">
      <c r="A3280" s="6">
        <f>3278</f>
        <v>3278</v>
      </c>
      <c r="B3280" s="6" t="s">
        <v>8675</v>
      </c>
      <c r="C3280" s="6" t="s">
        <v>12</v>
      </c>
      <c r="D3280" s="6" t="s">
        <v>8374</v>
      </c>
      <c r="E3280" s="6" t="s">
        <v>8589</v>
      </c>
      <c r="F3280" s="6" t="s">
        <v>8676</v>
      </c>
      <c r="G3280" s="6" t="s">
        <v>16</v>
      </c>
      <c r="H3280" s="5">
        <v>1</v>
      </c>
      <c r="I3280" s="6" t="s">
        <v>8676</v>
      </c>
      <c r="J3280" s="5">
        <v>620</v>
      </c>
    </row>
    <row r="3281" s="2" customFormat="1" spans="1:10">
      <c r="A3281" s="6">
        <f>3279</f>
        <v>3279</v>
      </c>
      <c r="B3281" s="6" t="s">
        <v>8677</v>
      </c>
      <c r="C3281" s="6" t="s">
        <v>12</v>
      </c>
      <c r="D3281" s="6" t="s">
        <v>8374</v>
      </c>
      <c r="E3281" s="6" t="s">
        <v>8589</v>
      </c>
      <c r="F3281" s="6" t="s">
        <v>8678</v>
      </c>
      <c r="G3281" s="6" t="s">
        <v>16</v>
      </c>
      <c r="H3281" s="5">
        <v>1</v>
      </c>
      <c r="I3281" s="6" t="s">
        <v>8678</v>
      </c>
      <c r="J3281" s="5">
        <v>370</v>
      </c>
    </row>
    <row r="3282" s="2" customFormat="1" spans="1:10">
      <c r="A3282" s="6">
        <f>3280</f>
        <v>3280</v>
      </c>
      <c r="B3282" s="6" t="s">
        <v>8679</v>
      </c>
      <c r="C3282" s="6" t="s">
        <v>12</v>
      </c>
      <c r="D3282" s="6" t="s">
        <v>8374</v>
      </c>
      <c r="E3282" s="6" t="s">
        <v>8589</v>
      </c>
      <c r="F3282" s="6" t="s">
        <v>8680</v>
      </c>
      <c r="G3282" s="6" t="s">
        <v>16</v>
      </c>
      <c r="H3282" s="5">
        <v>3</v>
      </c>
      <c r="I3282" s="6" t="s">
        <v>8681</v>
      </c>
      <c r="J3282" s="5">
        <v>490</v>
      </c>
    </row>
    <row r="3283" s="2" customFormat="1" ht="27" spans="1:10">
      <c r="A3283" s="6">
        <f>3281</f>
        <v>3281</v>
      </c>
      <c r="B3283" s="6" t="s">
        <v>8682</v>
      </c>
      <c r="C3283" s="6" t="s">
        <v>12</v>
      </c>
      <c r="D3283" s="6" t="s">
        <v>8374</v>
      </c>
      <c r="E3283" s="6" t="s">
        <v>8589</v>
      </c>
      <c r="F3283" s="6" t="s">
        <v>7904</v>
      </c>
      <c r="G3283" s="6" t="s">
        <v>16</v>
      </c>
      <c r="H3283" s="5">
        <v>4</v>
      </c>
      <c r="I3283" s="6" t="s">
        <v>8683</v>
      </c>
      <c r="J3283" s="5">
        <v>1120</v>
      </c>
    </row>
    <row r="3284" s="2" customFormat="1" spans="1:10">
      <c r="A3284" s="6">
        <f>3282</f>
        <v>3282</v>
      </c>
      <c r="B3284" s="6" t="s">
        <v>8684</v>
      </c>
      <c r="C3284" s="6" t="s">
        <v>12</v>
      </c>
      <c r="D3284" s="6" t="s">
        <v>8374</v>
      </c>
      <c r="E3284" s="6" t="s">
        <v>8589</v>
      </c>
      <c r="F3284" s="6" t="s">
        <v>8685</v>
      </c>
      <c r="G3284" s="6" t="s">
        <v>16</v>
      </c>
      <c r="H3284" s="5">
        <v>2</v>
      </c>
      <c r="I3284" s="6" t="s">
        <v>8686</v>
      </c>
      <c r="J3284" s="5">
        <v>480</v>
      </c>
    </row>
    <row r="3285" s="2" customFormat="1" spans="1:10">
      <c r="A3285" s="6">
        <f>3283</f>
        <v>3283</v>
      </c>
      <c r="B3285" s="6" t="s">
        <v>8687</v>
      </c>
      <c r="C3285" s="6" t="s">
        <v>12</v>
      </c>
      <c r="D3285" s="6" t="s">
        <v>8374</v>
      </c>
      <c r="E3285" s="6" t="s">
        <v>8589</v>
      </c>
      <c r="F3285" s="6" t="s">
        <v>8688</v>
      </c>
      <c r="G3285" s="6" t="s">
        <v>16</v>
      </c>
      <c r="H3285" s="5">
        <v>1</v>
      </c>
      <c r="I3285" s="6" t="s">
        <v>8688</v>
      </c>
      <c r="J3285" s="5">
        <v>320</v>
      </c>
    </row>
    <row r="3286" s="2" customFormat="1" spans="1:10">
      <c r="A3286" s="6">
        <f>3284</f>
        <v>3284</v>
      </c>
      <c r="B3286" s="6" t="s">
        <v>8689</v>
      </c>
      <c r="C3286" s="6" t="s">
        <v>12</v>
      </c>
      <c r="D3286" s="6" t="s">
        <v>8374</v>
      </c>
      <c r="E3286" s="6" t="s">
        <v>8589</v>
      </c>
      <c r="F3286" s="6" t="s">
        <v>8690</v>
      </c>
      <c r="G3286" s="6" t="s">
        <v>16</v>
      </c>
      <c r="H3286" s="5">
        <v>2</v>
      </c>
      <c r="I3286" s="6" t="s">
        <v>8691</v>
      </c>
      <c r="J3286" s="5">
        <v>360</v>
      </c>
    </row>
    <row r="3287" s="2" customFormat="1" spans="1:10">
      <c r="A3287" s="6">
        <f>3285</f>
        <v>3285</v>
      </c>
      <c r="B3287" s="6" t="s">
        <v>8692</v>
      </c>
      <c r="C3287" s="6" t="s">
        <v>12</v>
      </c>
      <c r="D3287" s="6" t="s">
        <v>8374</v>
      </c>
      <c r="E3287" s="6" t="s">
        <v>8589</v>
      </c>
      <c r="F3287" s="6" t="s">
        <v>8693</v>
      </c>
      <c r="G3287" s="6" t="s">
        <v>16</v>
      </c>
      <c r="H3287" s="5">
        <v>2</v>
      </c>
      <c r="I3287" s="6" t="s">
        <v>8694</v>
      </c>
      <c r="J3287" s="5">
        <v>330</v>
      </c>
    </row>
    <row r="3288" s="2" customFormat="1" spans="1:10">
      <c r="A3288" s="6">
        <f>3286</f>
        <v>3286</v>
      </c>
      <c r="B3288" s="6" t="s">
        <v>8695</v>
      </c>
      <c r="C3288" s="6" t="s">
        <v>12</v>
      </c>
      <c r="D3288" s="6" t="s">
        <v>8374</v>
      </c>
      <c r="E3288" s="6" t="s">
        <v>8589</v>
      </c>
      <c r="F3288" s="6" t="s">
        <v>6328</v>
      </c>
      <c r="G3288" s="6" t="s">
        <v>16</v>
      </c>
      <c r="H3288" s="5">
        <v>1</v>
      </c>
      <c r="I3288" s="6" t="s">
        <v>6328</v>
      </c>
      <c r="J3288" s="5">
        <v>320</v>
      </c>
    </row>
    <row r="3289" s="2" customFormat="1" spans="1:10">
      <c r="A3289" s="6">
        <f>3287</f>
        <v>3287</v>
      </c>
      <c r="B3289" s="6" t="s">
        <v>8696</v>
      </c>
      <c r="C3289" s="6" t="s">
        <v>12</v>
      </c>
      <c r="D3289" s="6" t="s">
        <v>8374</v>
      </c>
      <c r="E3289" s="6" t="s">
        <v>8589</v>
      </c>
      <c r="F3289" s="6" t="s">
        <v>8697</v>
      </c>
      <c r="G3289" s="6" t="s">
        <v>16</v>
      </c>
      <c r="H3289" s="5">
        <v>1</v>
      </c>
      <c r="I3289" s="6" t="s">
        <v>8697</v>
      </c>
      <c r="J3289" s="5">
        <v>420</v>
      </c>
    </row>
    <row r="3290" s="2" customFormat="1" ht="27" spans="1:10">
      <c r="A3290" s="6">
        <f>3288</f>
        <v>3288</v>
      </c>
      <c r="B3290" s="6" t="s">
        <v>8698</v>
      </c>
      <c r="C3290" s="6" t="s">
        <v>12</v>
      </c>
      <c r="D3290" s="6" t="s">
        <v>8374</v>
      </c>
      <c r="E3290" s="6" t="s">
        <v>8589</v>
      </c>
      <c r="F3290" s="6" t="s">
        <v>8699</v>
      </c>
      <c r="G3290" s="6" t="s">
        <v>16</v>
      </c>
      <c r="H3290" s="5">
        <v>4</v>
      </c>
      <c r="I3290" s="6" t="s">
        <v>8700</v>
      </c>
      <c r="J3290" s="5">
        <v>820</v>
      </c>
    </row>
    <row r="3291" s="2" customFormat="1" spans="1:10">
      <c r="A3291" s="6">
        <f>3289</f>
        <v>3289</v>
      </c>
      <c r="B3291" s="6" t="s">
        <v>8701</v>
      </c>
      <c r="C3291" s="6" t="s">
        <v>12</v>
      </c>
      <c r="D3291" s="6" t="s">
        <v>8374</v>
      </c>
      <c r="E3291" s="6" t="s">
        <v>8589</v>
      </c>
      <c r="F3291" s="6" t="s">
        <v>8702</v>
      </c>
      <c r="G3291" s="6" t="s">
        <v>16</v>
      </c>
      <c r="H3291" s="5">
        <v>1</v>
      </c>
      <c r="I3291" s="6" t="s">
        <v>8702</v>
      </c>
      <c r="J3291" s="5">
        <v>270</v>
      </c>
    </row>
    <row r="3292" s="2" customFormat="1" spans="1:10">
      <c r="A3292" s="6">
        <f>3290</f>
        <v>3290</v>
      </c>
      <c r="B3292" s="6" t="s">
        <v>8703</v>
      </c>
      <c r="C3292" s="6" t="s">
        <v>12</v>
      </c>
      <c r="D3292" s="6" t="s">
        <v>8374</v>
      </c>
      <c r="E3292" s="6" t="s">
        <v>8589</v>
      </c>
      <c r="F3292" s="6" t="s">
        <v>8704</v>
      </c>
      <c r="G3292" s="6" t="s">
        <v>16</v>
      </c>
      <c r="H3292" s="5">
        <v>3</v>
      </c>
      <c r="I3292" s="6" t="s">
        <v>8705</v>
      </c>
      <c r="J3292" s="5">
        <v>935</v>
      </c>
    </row>
    <row r="3293" s="2" customFormat="1" spans="1:10">
      <c r="A3293" s="6">
        <f>3291</f>
        <v>3291</v>
      </c>
      <c r="B3293" s="6" t="s">
        <v>8706</v>
      </c>
      <c r="C3293" s="6" t="s">
        <v>12</v>
      </c>
      <c r="D3293" s="6" t="s">
        <v>8374</v>
      </c>
      <c r="E3293" s="6" t="s">
        <v>8589</v>
      </c>
      <c r="F3293" s="6" t="s">
        <v>8707</v>
      </c>
      <c r="G3293" s="6" t="s">
        <v>16</v>
      </c>
      <c r="H3293" s="5">
        <v>1</v>
      </c>
      <c r="I3293" s="6" t="s">
        <v>8707</v>
      </c>
      <c r="J3293" s="5">
        <v>270</v>
      </c>
    </row>
    <row r="3294" s="2" customFormat="1" spans="1:10">
      <c r="A3294" s="6">
        <f>3292</f>
        <v>3292</v>
      </c>
      <c r="B3294" s="6" t="s">
        <v>8708</v>
      </c>
      <c r="C3294" s="6" t="s">
        <v>12</v>
      </c>
      <c r="D3294" s="6" t="s">
        <v>8374</v>
      </c>
      <c r="E3294" s="6" t="s">
        <v>8589</v>
      </c>
      <c r="F3294" s="6" t="s">
        <v>8709</v>
      </c>
      <c r="G3294" s="6" t="s">
        <v>16</v>
      </c>
      <c r="H3294" s="5">
        <v>2</v>
      </c>
      <c r="I3294" s="6" t="s">
        <v>8710</v>
      </c>
      <c r="J3294" s="5">
        <v>370</v>
      </c>
    </row>
    <row r="3295" s="2" customFormat="1" spans="1:10">
      <c r="A3295" s="6">
        <f>3293</f>
        <v>3293</v>
      </c>
      <c r="B3295" s="6" t="s">
        <v>8711</v>
      </c>
      <c r="C3295" s="6" t="s">
        <v>12</v>
      </c>
      <c r="D3295" s="6" t="s">
        <v>8374</v>
      </c>
      <c r="E3295" s="6" t="s">
        <v>8589</v>
      </c>
      <c r="F3295" s="6" t="s">
        <v>8712</v>
      </c>
      <c r="G3295" s="6" t="s">
        <v>16</v>
      </c>
      <c r="H3295" s="5">
        <v>2</v>
      </c>
      <c r="I3295" s="6" t="s">
        <v>8713</v>
      </c>
      <c r="J3295" s="5">
        <v>625</v>
      </c>
    </row>
    <row r="3296" s="2" customFormat="1" spans="1:10">
      <c r="A3296" s="6">
        <f>3294</f>
        <v>3294</v>
      </c>
      <c r="B3296" s="6" t="s">
        <v>8714</v>
      </c>
      <c r="C3296" s="6" t="s">
        <v>12</v>
      </c>
      <c r="D3296" s="6" t="s">
        <v>8374</v>
      </c>
      <c r="E3296" s="6" t="s">
        <v>8589</v>
      </c>
      <c r="F3296" s="6" t="s">
        <v>6693</v>
      </c>
      <c r="G3296" s="6" t="s">
        <v>16</v>
      </c>
      <c r="H3296" s="5">
        <v>1</v>
      </c>
      <c r="I3296" s="6" t="s">
        <v>6693</v>
      </c>
      <c r="J3296" s="5">
        <v>320</v>
      </c>
    </row>
    <row r="3297" s="2" customFormat="1" spans="1:10">
      <c r="A3297" s="6">
        <f>3295</f>
        <v>3295</v>
      </c>
      <c r="B3297" s="6" t="s">
        <v>8715</v>
      </c>
      <c r="C3297" s="6" t="s">
        <v>12</v>
      </c>
      <c r="D3297" s="6" t="s">
        <v>8374</v>
      </c>
      <c r="E3297" s="6" t="s">
        <v>8589</v>
      </c>
      <c r="F3297" s="6" t="s">
        <v>8716</v>
      </c>
      <c r="G3297" s="6" t="s">
        <v>16</v>
      </c>
      <c r="H3297" s="5">
        <v>1</v>
      </c>
      <c r="I3297" s="6" t="s">
        <v>8716</v>
      </c>
      <c r="J3297" s="5">
        <v>270</v>
      </c>
    </row>
    <row r="3298" s="2" customFormat="1" spans="1:10">
      <c r="A3298" s="6">
        <f>3296</f>
        <v>3296</v>
      </c>
      <c r="B3298" s="6" t="s">
        <v>8717</v>
      </c>
      <c r="C3298" s="6" t="s">
        <v>12</v>
      </c>
      <c r="D3298" s="6" t="s">
        <v>8374</v>
      </c>
      <c r="E3298" s="6" t="s">
        <v>8589</v>
      </c>
      <c r="F3298" s="6" t="s">
        <v>8718</v>
      </c>
      <c r="G3298" s="6" t="s">
        <v>16</v>
      </c>
      <c r="H3298" s="5">
        <v>1</v>
      </c>
      <c r="I3298" s="6" t="s">
        <v>8718</v>
      </c>
      <c r="J3298" s="5">
        <v>260</v>
      </c>
    </row>
    <row r="3299" s="2" customFormat="1" spans="1:10">
      <c r="A3299" s="6">
        <f>3297</f>
        <v>3297</v>
      </c>
      <c r="B3299" s="6" t="s">
        <v>8719</v>
      </c>
      <c r="C3299" s="6" t="s">
        <v>12</v>
      </c>
      <c r="D3299" s="6" t="s">
        <v>8374</v>
      </c>
      <c r="E3299" s="6" t="s">
        <v>8589</v>
      </c>
      <c r="F3299" s="6" t="s">
        <v>8720</v>
      </c>
      <c r="G3299" s="6" t="s">
        <v>16</v>
      </c>
      <c r="H3299" s="5">
        <v>1</v>
      </c>
      <c r="I3299" s="6" t="s">
        <v>8720</v>
      </c>
      <c r="J3299" s="5">
        <v>540</v>
      </c>
    </row>
    <row r="3300" s="2" customFormat="1" spans="1:10">
      <c r="A3300" s="6">
        <f>3298</f>
        <v>3298</v>
      </c>
      <c r="B3300" s="6" t="s">
        <v>8721</v>
      </c>
      <c r="C3300" s="6" t="s">
        <v>12</v>
      </c>
      <c r="D3300" s="6" t="s">
        <v>8374</v>
      </c>
      <c r="E3300" s="6" t="s">
        <v>8589</v>
      </c>
      <c r="F3300" s="6" t="s">
        <v>8722</v>
      </c>
      <c r="G3300" s="6" t="s">
        <v>16</v>
      </c>
      <c r="H3300" s="5">
        <v>1</v>
      </c>
      <c r="I3300" s="6" t="s">
        <v>8722</v>
      </c>
      <c r="J3300" s="5">
        <v>270</v>
      </c>
    </row>
    <row r="3301" s="2" customFormat="1" spans="1:10">
      <c r="A3301" s="6">
        <f>3299</f>
        <v>3299</v>
      </c>
      <c r="B3301" s="6" t="s">
        <v>8723</v>
      </c>
      <c r="C3301" s="6" t="s">
        <v>12</v>
      </c>
      <c r="D3301" s="6" t="s">
        <v>8374</v>
      </c>
      <c r="E3301" s="6" t="s">
        <v>8589</v>
      </c>
      <c r="F3301" s="6" t="s">
        <v>8724</v>
      </c>
      <c r="G3301" s="6" t="s">
        <v>16</v>
      </c>
      <c r="H3301" s="5">
        <v>1</v>
      </c>
      <c r="I3301" s="6" t="s">
        <v>8724</v>
      </c>
      <c r="J3301" s="5">
        <v>300</v>
      </c>
    </row>
    <row r="3302" s="2" customFormat="1" spans="1:10">
      <c r="A3302" s="6">
        <f>3300</f>
        <v>3300</v>
      </c>
      <c r="B3302" s="6" t="s">
        <v>8725</v>
      </c>
      <c r="C3302" s="6" t="s">
        <v>12</v>
      </c>
      <c r="D3302" s="6" t="s">
        <v>8374</v>
      </c>
      <c r="E3302" s="6" t="s">
        <v>8589</v>
      </c>
      <c r="F3302" s="6" t="s">
        <v>8726</v>
      </c>
      <c r="G3302" s="6" t="s">
        <v>16</v>
      </c>
      <c r="H3302" s="5">
        <v>2</v>
      </c>
      <c r="I3302" s="6" t="s">
        <v>8727</v>
      </c>
      <c r="J3302" s="5">
        <v>620</v>
      </c>
    </row>
    <row r="3303" s="2" customFormat="1" spans="1:10">
      <c r="A3303" s="6">
        <f>3301</f>
        <v>3301</v>
      </c>
      <c r="B3303" s="6" t="s">
        <v>8728</v>
      </c>
      <c r="C3303" s="6" t="s">
        <v>12</v>
      </c>
      <c r="D3303" s="6" t="s">
        <v>8374</v>
      </c>
      <c r="E3303" s="6" t="s">
        <v>8589</v>
      </c>
      <c r="F3303" s="6" t="s">
        <v>8729</v>
      </c>
      <c r="G3303" s="6" t="s">
        <v>16</v>
      </c>
      <c r="H3303" s="5">
        <v>1</v>
      </c>
      <c r="I3303" s="6" t="s">
        <v>8729</v>
      </c>
      <c r="J3303" s="5">
        <v>270</v>
      </c>
    </row>
    <row r="3304" s="2" customFormat="1" spans="1:10">
      <c r="A3304" s="6">
        <f>3302</f>
        <v>3302</v>
      </c>
      <c r="B3304" s="6" t="s">
        <v>8730</v>
      </c>
      <c r="C3304" s="6" t="s">
        <v>12</v>
      </c>
      <c r="D3304" s="6" t="s">
        <v>8374</v>
      </c>
      <c r="E3304" s="6" t="s">
        <v>8589</v>
      </c>
      <c r="F3304" s="6" t="s">
        <v>8731</v>
      </c>
      <c r="G3304" s="6" t="s">
        <v>16</v>
      </c>
      <c r="H3304" s="5">
        <v>1</v>
      </c>
      <c r="I3304" s="6" t="s">
        <v>8731</v>
      </c>
      <c r="J3304" s="5">
        <v>238</v>
      </c>
    </row>
    <row r="3305" s="2" customFormat="1" spans="1:10">
      <c r="A3305" s="6">
        <f>3303</f>
        <v>3303</v>
      </c>
      <c r="B3305" s="6" t="s">
        <v>8732</v>
      </c>
      <c r="C3305" s="6" t="s">
        <v>12</v>
      </c>
      <c r="D3305" s="6" t="s">
        <v>8374</v>
      </c>
      <c r="E3305" s="6" t="s">
        <v>8589</v>
      </c>
      <c r="F3305" s="6" t="s">
        <v>8733</v>
      </c>
      <c r="G3305" s="6" t="s">
        <v>16</v>
      </c>
      <c r="H3305" s="5">
        <v>3</v>
      </c>
      <c r="I3305" s="6" t="s">
        <v>8734</v>
      </c>
      <c r="J3305" s="5">
        <v>1040</v>
      </c>
    </row>
    <row r="3306" s="2" customFormat="1" ht="27" spans="1:10">
      <c r="A3306" s="6">
        <f>3304</f>
        <v>3304</v>
      </c>
      <c r="B3306" s="6" t="s">
        <v>8735</v>
      </c>
      <c r="C3306" s="6" t="s">
        <v>12</v>
      </c>
      <c r="D3306" s="6" t="s">
        <v>8374</v>
      </c>
      <c r="E3306" s="6" t="s">
        <v>8736</v>
      </c>
      <c r="F3306" s="6" t="s">
        <v>8737</v>
      </c>
      <c r="G3306" s="6" t="s">
        <v>16</v>
      </c>
      <c r="H3306" s="5">
        <v>4</v>
      </c>
      <c r="I3306" s="6" t="s">
        <v>8738</v>
      </c>
      <c r="J3306" s="5">
        <v>1580</v>
      </c>
    </row>
    <row r="3307" s="2" customFormat="1" spans="1:10">
      <c r="A3307" s="6">
        <f>3305</f>
        <v>3305</v>
      </c>
      <c r="B3307" s="6" t="s">
        <v>8739</v>
      </c>
      <c r="C3307" s="6" t="s">
        <v>12</v>
      </c>
      <c r="D3307" s="6" t="s">
        <v>8374</v>
      </c>
      <c r="E3307" s="6" t="s">
        <v>8736</v>
      </c>
      <c r="F3307" s="6" t="s">
        <v>8740</v>
      </c>
      <c r="G3307" s="6" t="s">
        <v>16</v>
      </c>
      <c r="H3307" s="5">
        <v>3</v>
      </c>
      <c r="I3307" s="6" t="s">
        <v>8741</v>
      </c>
      <c r="J3307" s="5">
        <v>1030</v>
      </c>
    </row>
    <row r="3308" s="2" customFormat="1" spans="1:10">
      <c r="A3308" s="6">
        <f>3306</f>
        <v>3306</v>
      </c>
      <c r="B3308" s="6" t="s">
        <v>8742</v>
      </c>
      <c r="C3308" s="6" t="s">
        <v>12</v>
      </c>
      <c r="D3308" s="6" t="s">
        <v>8374</v>
      </c>
      <c r="E3308" s="6" t="s">
        <v>8736</v>
      </c>
      <c r="F3308" s="6" t="s">
        <v>8743</v>
      </c>
      <c r="G3308" s="6" t="s">
        <v>16</v>
      </c>
      <c r="H3308" s="5">
        <v>1</v>
      </c>
      <c r="I3308" s="6" t="s">
        <v>8743</v>
      </c>
      <c r="J3308" s="5">
        <v>560</v>
      </c>
    </row>
    <row r="3309" s="2" customFormat="1" spans="1:10">
      <c r="A3309" s="6">
        <f>3307</f>
        <v>3307</v>
      </c>
      <c r="B3309" s="6" t="s">
        <v>8744</v>
      </c>
      <c r="C3309" s="6" t="s">
        <v>12</v>
      </c>
      <c r="D3309" s="6" t="s">
        <v>8374</v>
      </c>
      <c r="E3309" s="6" t="s">
        <v>8736</v>
      </c>
      <c r="F3309" s="6" t="s">
        <v>7229</v>
      </c>
      <c r="G3309" s="6" t="s">
        <v>16</v>
      </c>
      <c r="H3309" s="5">
        <v>2</v>
      </c>
      <c r="I3309" s="6" t="s">
        <v>8745</v>
      </c>
      <c r="J3309" s="5">
        <v>880</v>
      </c>
    </row>
    <row r="3310" s="2" customFormat="1" spans="1:10">
      <c r="A3310" s="6">
        <f>3308</f>
        <v>3308</v>
      </c>
      <c r="B3310" s="6" t="s">
        <v>8746</v>
      </c>
      <c r="C3310" s="6" t="s">
        <v>12</v>
      </c>
      <c r="D3310" s="6" t="s">
        <v>8374</v>
      </c>
      <c r="E3310" s="6" t="s">
        <v>8736</v>
      </c>
      <c r="F3310" s="6" t="s">
        <v>8747</v>
      </c>
      <c r="G3310" s="6" t="s">
        <v>16</v>
      </c>
      <c r="H3310" s="5">
        <v>1</v>
      </c>
      <c r="I3310" s="6" t="s">
        <v>8747</v>
      </c>
      <c r="J3310" s="5">
        <v>390</v>
      </c>
    </row>
    <row r="3311" s="2" customFormat="1" ht="27" spans="1:10">
      <c r="A3311" s="6">
        <f>3309</f>
        <v>3309</v>
      </c>
      <c r="B3311" s="6" t="s">
        <v>8748</v>
      </c>
      <c r="C3311" s="6" t="s">
        <v>12</v>
      </c>
      <c r="D3311" s="6" t="s">
        <v>8374</v>
      </c>
      <c r="E3311" s="6" t="s">
        <v>8736</v>
      </c>
      <c r="F3311" s="6" t="s">
        <v>8749</v>
      </c>
      <c r="G3311" s="6" t="s">
        <v>16</v>
      </c>
      <c r="H3311" s="5">
        <v>4</v>
      </c>
      <c r="I3311" s="6" t="s">
        <v>8750</v>
      </c>
      <c r="J3311" s="5">
        <v>1660</v>
      </c>
    </row>
    <row r="3312" s="2" customFormat="1" spans="1:10">
      <c r="A3312" s="6">
        <f>3310</f>
        <v>3310</v>
      </c>
      <c r="B3312" s="6" t="s">
        <v>8751</v>
      </c>
      <c r="C3312" s="6" t="s">
        <v>12</v>
      </c>
      <c r="D3312" s="6" t="s">
        <v>8374</v>
      </c>
      <c r="E3312" s="6" t="s">
        <v>8736</v>
      </c>
      <c r="F3312" s="6" t="s">
        <v>8752</v>
      </c>
      <c r="G3312" s="6" t="s">
        <v>16</v>
      </c>
      <c r="H3312" s="5">
        <v>1</v>
      </c>
      <c r="I3312" s="6" t="s">
        <v>8752</v>
      </c>
      <c r="J3312" s="5">
        <v>360</v>
      </c>
    </row>
    <row r="3313" s="2" customFormat="1" spans="1:10">
      <c r="A3313" s="6">
        <f>3311</f>
        <v>3311</v>
      </c>
      <c r="B3313" s="6" t="s">
        <v>8753</v>
      </c>
      <c r="C3313" s="6" t="s">
        <v>12</v>
      </c>
      <c r="D3313" s="6" t="s">
        <v>8374</v>
      </c>
      <c r="E3313" s="6" t="s">
        <v>8736</v>
      </c>
      <c r="F3313" s="6" t="s">
        <v>8754</v>
      </c>
      <c r="G3313" s="6" t="s">
        <v>16</v>
      </c>
      <c r="H3313" s="5">
        <v>1</v>
      </c>
      <c r="I3313" s="6" t="s">
        <v>8754</v>
      </c>
      <c r="J3313" s="5">
        <v>260</v>
      </c>
    </row>
    <row r="3314" s="2" customFormat="1" spans="1:10">
      <c r="A3314" s="6">
        <f>3312</f>
        <v>3312</v>
      </c>
      <c r="B3314" s="6" t="s">
        <v>8755</v>
      </c>
      <c r="C3314" s="6" t="s">
        <v>12</v>
      </c>
      <c r="D3314" s="6" t="s">
        <v>8374</v>
      </c>
      <c r="E3314" s="6" t="s">
        <v>8736</v>
      </c>
      <c r="F3314" s="6" t="s">
        <v>8756</v>
      </c>
      <c r="G3314" s="6" t="s">
        <v>16</v>
      </c>
      <c r="H3314" s="5">
        <v>2</v>
      </c>
      <c r="I3314" s="6" t="s">
        <v>8757</v>
      </c>
      <c r="J3314" s="5">
        <v>520</v>
      </c>
    </row>
    <row r="3315" s="2" customFormat="1" spans="1:10">
      <c r="A3315" s="6">
        <f>3313</f>
        <v>3313</v>
      </c>
      <c r="B3315" s="6" t="s">
        <v>8758</v>
      </c>
      <c r="C3315" s="6" t="s">
        <v>12</v>
      </c>
      <c r="D3315" s="6" t="s">
        <v>8374</v>
      </c>
      <c r="E3315" s="6" t="s">
        <v>8736</v>
      </c>
      <c r="F3315" s="6" t="s">
        <v>8759</v>
      </c>
      <c r="G3315" s="6" t="s">
        <v>16</v>
      </c>
      <c r="H3315" s="5">
        <v>3</v>
      </c>
      <c r="I3315" s="6" t="s">
        <v>8760</v>
      </c>
      <c r="J3315" s="5">
        <v>580</v>
      </c>
    </row>
    <row r="3316" s="2" customFormat="1" spans="1:10">
      <c r="A3316" s="6">
        <f>3314</f>
        <v>3314</v>
      </c>
      <c r="B3316" s="6" t="s">
        <v>8761</v>
      </c>
      <c r="C3316" s="6" t="s">
        <v>12</v>
      </c>
      <c r="D3316" s="6" t="s">
        <v>8374</v>
      </c>
      <c r="E3316" s="6" t="s">
        <v>8736</v>
      </c>
      <c r="F3316" s="6" t="s">
        <v>8762</v>
      </c>
      <c r="G3316" s="6" t="s">
        <v>16</v>
      </c>
      <c r="H3316" s="5">
        <v>1</v>
      </c>
      <c r="I3316" s="6" t="s">
        <v>8762</v>
      </c>
      <c r="J3316" s="5">
        <v>620</v>
      </c>
    </row>
    <row r="3317" s="2" customFormat="1" spans="1:10">
      <c r="A3317" s="6">
        <f>3315</f>
        <v>3315</v>
      </c>
      <c r="B3317" s="6" t="s">
        <v>8763</v>
      </c>
      <c r="C3317" s="6" t="s">
        <v>12</v>
      </c>
      <c r="D3317" s="6" t="s">
        <v>8374</v>
      </c>
      <c r="E3317" s="6" t="s">
        <v>8736</v>
      </c>
      <c r="F3317" s="6" t="s">
        <v>8764</v>
      </c>
      <c r="G3317" s="6" t="s">
        <v>16</v>
      </c>
      <c r="H3317" s="5">
        <v>1</v>
      </c>
      <c r="I3317" s="6" t="s">
        <v>8764</v>
      </c>
      <c r="J3317" s="5">
        <v>440</v>
      </c>
    </row>
    <row r="3318" s="2" customFormat="1" spans="1:10">
      <c r="A3318" s="6">
        <f>3316</f>
        <v>3316</v>
      </c>
      <c r="B3318" s="6" t="s">
        <v>8765</v>
      </c>
      <c r="C3318" s="6" t="s">
        <v>12</v>
      </c>
      <c r="D3318" s="6" t="s">
        <v>8374</v>
      </c>
      <c r="E3318" s="6" t="s">
        <v>8736</v>
      </c>
      <c r="F3318" s="6" t="s">
        <v>8766</v>
      </c>
      <c r="G3318" s="6" t="s">
        <v>16</v>
      </c>
      <c r="H3318" s="5">
        <v>1</v>
      </c>
      <c r="I3318" s="6" t="s">
        <v>8766</v>
      </c>
      <c r="J3318" s="5">
        <v>360</v>
      </c>
    </row>
    <row r="3319" s="2" customFormat="1" spans="1:10">
      <c r="A3319" s="6">
        <f>3317</f>
        <v>3317</v>
      </c>
      <c r="B3319" s="6" t="s">
        <v>8767</v>
      </c>
      <c r="C3319" s="6" t="s">
        <v>12</v>
      </c>
      <c r="D3319" s="6" t="s">
        <v>8374</v>
      </c>
      <c r="E3319" s="6" t="s">
        <v>8736</v>
      </c>
      <c r="F3319" s="6" t="s">
        <v>8768</v>
      </c>
      <c r="G3319" s="6" t="s">
        <v>16</v>
      </c>
      <c r="H3319" s="5">
        <v>1</v>
      </c>
      <c r="I3319" s="6" t="s">
        <v>8768</v>
      </c>
      <c r="J3319" s="5">
        <v>360</v>
      </c>
    </row>
    <row r="3320" s="2" customFormat="1" spans="1:10">
      <c r="A3320" s="6">
        <f>3318</f>
        <v>3318</v>
      </c>
      <c r="B3320" s="6" t="s">
        <v>8769</v>
      </c>
      <c r="C3320" s="6" t="s">
        <v>12</v>
      </c>
      <c r="D3320" s="6" t="s">
        <v>8374</v>
      </c>
      <c r="E3320" s="6" t="s">
        <v>8736</v>
      </c>
      <c r="F3320" s="6" t="s">
        <v>8770</v>
      </c>
      <c r="G3320" s="6" t="s">
        <v>16</v>
      </c>
      <c r="H3320" s="5">
        <v>1</v>
      </c>
      <c r="I3320" s="6" t="s">
        <v>8770</v>
      </c>
      <c r="J3320" s="5">
        <v>270</v>
      </c>
    </row>
    <row r="3321" s="2" customFormat="1" spans="1:10">
      <c r="A3321" s="6">
        <f>3319</f>
        <v>3319</v>
      </c>
      <c r="B3321" s="6" t="s">
        <v>8771</v>
      </c>
      <c r="C3321" s="6" t="s">
        <v>12</v>
      </c>
      <c r="D3321" s="6" t="s">
        <v>8374</v>
      </c>
      <c r="E3321" s="6" t="s">
        <v>8736</v>
      </c>
      <c r="F3321" s="6" t="s">
        <v>8772</v>
      </c>
      <c r="G3321" s="6" t="s">
        <v>16</v>
      </c>
      <c r="H3321" s="5">
        <v>1</v>
      </c>
      <c r="I3321" s="6" t="s">
        <v>8772</v>
      </c>
      <c r="J3321" s="5">
        <v>440</v>
      </c>
    </row>
    <row r="3322" s="2" customFormat="1" spans="1:10">
      <c r="A3322" s="6">
        <f>3320</f>
        <v>3320</v>
      </c>
      <c r="B3322" s="6" t="s">
        <v>8773</v>
      </c>
      <c r="C3322" s="6" t="s">
        <v>12</v>
      </c>
      <c r="D3322" s="6" t="s">
        <v>8374</v>
      </c>
      <c r="E3322" s="6" t="s">
        <v>8736</v>
      </c>
      <c r="F3322" s="6" t="s">
        <v>8774</v>
      </c>
      <c r="G3322" s="6" t="s">
        <v>16</v>
      </c>
      <c r="H3322" s="5">
        <v>1</v>
      </c>
      <c r="I3322" s="6" t="s">
        <v>8774</v>
      </c>
      <c r="J3322" s="5">
        <v>345</v>
      </c>
    </row>
    <row r="3323" s="2" customFormat="1" spans="1:10">
      <c r="A3323" s="6">
        <f>3321</f>
        <v>3321</v>
      </c>
      <c r="B3323" s="6" t="s">
        <v>8775</v>
      </c>
      <c r="C3323" s="6" t="s">
        <v>12</v>
      </c>
      <c r="D3323" s="6" t="s">
        <v>8374</v>
      </c>
      <c r="E3323" s="6" t="s">
        <v>8736</v>
      </c>
      <c r="F3323" s="6" t="s">
        <v>8089</v>
      </c>
      <c r="G3323" s="6" t="s">
        <v>16</v>
      </c>
      <c r="H3323" s="5">
        <v>1</v>
      </c>
      <c r="I3323" s="6" t="s">
        <v>8089</v>
      </c>
      <c r="J3323" s="5">
        <v>270</v>
      </c>
    </row>
    <row r="3324" s="2" customFormat="1" spans="1:10">
      <c r="A3324" s="6">
        <f>3322</f>
        <v>3322</v>
      </c>
      <c r="B3324" s="6" t="s">
        <v>8776</v>
      </c>
      <c r="C3324" s="6" t="s">
        <v>12</v>
      </c>
      <c r="D3324" s="6" t="s">
        <v>8374</v>
      </c>
      <c r="E3324" s="6" t="s">
        <v>8736</v>
      </c>
      <c r="F3324" s="6" t="s">
        <v>8777</v>
      </c>
      <c r="G3324" s="6" t="s">
        <v>16</v>
      </c>
      <c r="H3324" s="5">
        <v>3</v>
      </c>
      <c r="I3324" s="6" t="s">
        <v>8778</v>
      </c>
      <c r="J3324" s="5">
        <v>980</v>
      </c>
    </row>
    <row r="3325" s="2" customFormat="1" spans="1:10">
      <c r="A3325" s="6">
        <f>3323</f>
        <v>3323</v>
      </c>
      <c r="B3325" s="6" t="s">
        <v>8779</v>
      </c>
      <c r="C3325" s="6" t="s">
        <v>12</v>
      </c>
      <c r="D3325" s="6" t="s">
        <v>8374</v>
      </c>
      <c r="E3325" s="6" t="s">
        <v>8736</v>
      </c>
      <c r="F3325" s="6" t="s">
        <v>8780</v>
      </c>
      <c r="G3325" s="6" t="s">
        <v>16</v>
      </c>
      <c r="H3325" s="5">
        <v>1</v>
      </c>
      <c r="I3325" s="6" t="s">
        <v>8780</v>
      </c>
      <c r="J3325" s="5">
        <v>365</v>
      </c>
    </row>
    <row r="3326" s="2" customFormat="1" spans="1:10">
      <c r="A3326" s="6">
        <f>3324</f>
        <v>3324</v>
      </c>
      <c r="B3326" s="6" t="s">
        <v>8781</v>
      </c>
      <c r="C3326" s="6" t="s">
        <v>12</v>
      </c>
      <c r="D3326" s="6" t="s">
        <v>8374</v>
      </c>
      <c r="E3326" s="6" t="s">
        <v>8736</v>
      </c>
      <c r="F3326" s="6" t="s">
        <v>8782</v>
      </c>
      <c r="G3326" s="6" t="s">
        <v>16</v>
      </c>
      <c r="H3326" s="5">
        <v>2</v>
      </c>
      <c r="I3326" s="6" t="s">
        <v>8783</v>
      </c>
      <c r="J3326" s="5">
        <v>546</v>
      </c>
    </row>
    <row r="3327" s="2" customFormat="1" spans="1:10">
      <c r="A3327" s="6">
        <f>3325</f>
        <v>3325</v>
      </c>
      <c r="B3327" s="6" t="s">
        <v>8784</v>
      </c>
      <c r="C3327" s="6" t="s">
        <v>12</v>
      </c>
      <c r="D3327" s="6" t="s">
        <v>8374</v>
      </c>
      <c r="E3327" s="6" t="s">
        <v>8736</v>
      </c>
      <c r="F3327" s="6" t="s">
        <v>8785</v>
      </c>
      <c r="G3327" s="6" t="s">
        <v>16</v>
      </c>
      <c r="H3327" s="5">
        <v>1</v>
      </c>
      <c r="I3327" s="6" t="s">
        <v>8785</v>
      </c>
      <c r="J3327" s="5">
        <v>310</v>
      </c>
    </row>
    <row r="3328" s="2" customFormat="1" spans="1:10">
      <c r="A3328" s="6">
        <f>3326</f>
        <v>3326</v>
      </c>
      <c r="B3328" s="6" t="s">
        <v>8786</v>
      </c>
      <c r="C3328" s="6" t="s">
        <v>12</v>
      </c>
      <c r="D3328" s="6" t="s">
        <v>8374</v>
      </c>
      <c r="E3328" s="6" t="s">
        <v>8736</v>
      </c>
      <c r="F3328" s="6" t="s">
        <v>8787</v>
      </c>
      <c r="G3328" s="6" t="s">
        <v>16</v>
      </c>
      <c r="H3328" s="5">
        <v>1</v>
      </c>
      <c r="I3328" s="6" t="s">
        <v>8787</v>
      </c>
      <c r="J3328" s="5">
        <v>620</v>
      </c>
    </row>
    <row r="3329" s="2" customFormat="1" spans="1:10">
      <c r="A3329" s="6">
        <f>3327</f>
        <v>3327</v>
      </c>
      <c r="B3329" s="6" t="s">
        <v>8788</v>
      </c>
      <c r="C3329" s="6" t="s">
        <v>12</v>
      </c>
      <c r="D3329" s="6" t="s">
        <v>8374</v>
      </c>
      <c r="E3329" s="6" t="s">
        <v>8736</v>
      </c>
      <c r="F3329" s="6" t="s">
        <v>8789</v>
      </c>
      <c r="G3329" s="6" t="s">
        <v>16</v>
      </c>
      <c r="H3329" s="5">
        <v>1</v>
      </c>
      <c r="I3329" s="6" t="s">
        <v>8789</v>
      </c>
      <c r="J3329" s="5">
        <v>370</v>
      </c>
    </row>
    <row r="3330" s="2" customFormat="1" spans="1:10">
      <c r="A3330" s="6">
        <f>3328</f>
        <v>3328</v>
      </c>
      <c r="B3330" s="6" t="s">
        <v>8790</v>
      </c>
      <c r="C3330" s="6" t="s">
        <v>12</v>
      </c>
      <c r="D3330" s="6" t="s">
        <v>8374</v>
      </c>
      <c r="E3330" s="6" t="s">
        <v>8736</v>
      </c>
      <c r="F3330" s="6" t="s">
        <v>8791</v>
      </c>
      <c r="G3330" s="6" t="s">
        <v>16</v>
      </c>
      <c r="H3330" s="5">
        <v>1</v>
      </c>
      <c r="I3330" s="6" t="s">
        <v>8791</v>
      </c>
      <c r="J3330" s="5">
        <v>440</v>
      </c>
    </row>
    <row r="3331" s="2" customFormat="1" spans="1:10">
      <c r="A3331" s="6">
        <f>3329</f>
        <v>3329</v>
      </c>
      <c r="B3331" s="6" t="s">
        <v>8792</v>
      </c>
      <c r="C3331" s="6" t="s">
        <v>12</v>
      </c>
      <c r="D3331" s="6" t="s">
        <v>8374</v>
      </c>
      <c r="E3331" s="6" t="s">
        <v>8736</v>
      </c>
      <c r="F3331" s="6" t="s">
        <v>8793</v>
      </c>
      <c r="G3331" s="6" t="s">
        <v>16</v>
      </c>
      <c r="H3331" s="5">
        <v>1</v>
      </c>
      <c r="I3331" s="6" t="s">
        <v>8793</v>
      </c>
      <c r="J3331" s="5">
        <v>360</v>
      </c>
    </row>
    <row r="3332" s="2" customFormat="1" spans="1:10">
      <c r="A3332" s="6">
        <f>3330</f>
        <v>3330</v>
      </c>
      <c r="B3332" s="6" t="s">
        <v>8794</v>
      </c>
      <c r="C3332" s="6" t="s">
        <v>12</v>
      </c>
      <c r="D3332" s="6" t="s">
        <v>8374</v>
      </c>
      <c r="E3332" s="6" t="s">
        <v>8736</v>
      </c>
      <c r="F3332" s="6" t="s">
        <v>8795</v>
      </c>
      <c r="G3332" s="6" t="s">
        <v>16</v>
      </c>
      <c r="H3332" s="5">
        <v>2</v>
      </c>
      <c r="I3332" s="6" t="s">
        <v>8796</v>
      </c>
      <c r="J3332" s="5">
        <v>630</v>
      </c>
    </row>
    <row r="3333" s="2" customFormat="1" spans="1:10">
      <c r="A3333" s="6">
        <f>3331</f>
        <v>3331</v>
      </c>
      <c r="B3333" s="6" t="s">
        <v>8797</v>
      </c>
      <c r="C3333" s="6" t="s">
        <v>12</v>
      </c>
      <c r="D3333" s="6" t="s">
        <v>8374</v>
      </c>
      <c r="E3333" s="6" t="s">
        <v>8736</v>
      </c>
      <c r="F3333" s="6" t="s">
        <v>8798</v>
      </c>
      <c r="G3333" s="6" t="s">
        <v>16</v>
      </c>
      <c r="H3333" s="5">
        <v>1</v>
      </c>
      <c r="I3333" s="6" t="s">
        <v>8798</v>
      </c>
      <c r="J3333" s="5">
        <v>370</v>
      </c>
    </row>
    <row r="3334" s="2" customFormat="1" ht="27" spans="1:10">
      <c r="A3334" s="6">
        <f>3332</f>
        <v>3332</v>
      </c>
      <c r="B3334" s="6" t="s">
        <v>8799</v>
      </c>
      <c r="C3334" s="6" t="s">
        <v>12</v>
      </c>
      <c r="D3334" s="6" t="s">
        <v>8374</v>
      </c>
      <c r="E3334" s="6" t="s">
        <v>8736</v>
      </c>
      <c r="F3334" s="6" t="s">
        <v>8800</v>
      </c>
      <c r="G3334" s="6" t="s">
        <v>16</v>
      </c>
      <c r="H3334" s="5">
        <v>5</v>
      </c>
      <c r="I3334" s="6" t="s">
        <v>8801</v>
      </c>
      <c r="J3334" s="5">
        <v>1350</v>
      </c>
    </row>
    <row r="3335" s="2" customFormat="1" spans="1:10">
      <c r="A3335" s="6">
        <f>3333</f>
        <v>3333</v>
      </c>
      <c r="B3335" s="6" t="s">
        <v>8802</v>
      </c>
      <c r="C3335" s="6" t="s">
        <v>12</v>
      </c>
      <c r="D3335" s="6" t="s">
        <v>8374</v>
      </c>
      <c r="E3335" s="6" t="s">
        <v>8736</v>
      </c>
      <c r="F3335" s="6" t="s">
        <v>8803</v>
      </c>
      <c r="G3335" s="6" t="s">
        <v>16</v>
      </c>
      <c r="H3335" s="5">
        <v>2</v>
      </c>
      <c r="I3335" s="6" t="s">
        <v>8804</v>
      </c>
      <c r="J3335" s="5">
        <v>500</v>
      </c>
    </row>
    <row r="3336" s="2" customFormat="1" spans="1:10">
      <c r="A3336" s="6">
        <f>3334</f>
        <v>3334</v>
      </c>
      <c r="B3336" s="6" t="s">
        <v>8805</v>
      </c>
      <c r="C3336" s="6" t="s">
        <v>12</v>
      </c>
      <c r="D3336" s="6" t="s">
        <v>8374</v>
      </c>
      <c r="E3336" s="6" t="s">
        <v>8736</v>
      </c>
      <c r="F3336" s="6" t="s">
        <v>8806</v>
      </c>
      <c r="G3336" s="6" t="s">
        <v>16</v>
      </c>
      <c r="H3336" s="5">
        <v>3</v>
      </c>
      <c r="I3336" s="6" t="s">
        <v>8807</v>
      </c>
      <c r="J3336" s="5">
        <v>390</v>
      </c>
    </row>
    <row r="3337" s="2" customFormat="1" spans="1:10">
      <c r="A3337" s="6">
        <f>3335</f>
        <v>3335</v>
      </c>
      <c r="B3337" s="6" t="s">
        <v>8808</v>
      </c>
      <c r="C3337" s="6" t="s">
        <v>12</v>
      </c>
      <c r="D3337" s="6" t="s">
        <v>8374</v>
      </c>
      <c r="E3337" s="6" t="s">
        <v>8736</v>
      </c>
      <c r="F3337" s="6" t="s">
        <v>8809</v>
      </c>
      <c r="G3337" s="6" t="s">
        <v>16</v>
      </c>
      <c r="H3337" s="5">
        <v>1</v>
      </c>
      <c r="I3337" s="6" t="s">
        <v>8809</v>
      </c>
      <c r="J3337" s="5">
        <v>560</v>
      </c>
    </row>
    <row r="3338" s="2" customFormat="1" spans="1:10">
      <c r="A3338" s="6">
        <f>3336</f>
        <v>3336</v>
      </c>
      <c r="B3338" s="6" t="s">
        <v>8810</v>
      </c>
      <c r="C3338" s="6" t="s">
        <v>12</v>
      </c>
      <c r="D3338" s="6" t="s">
        <v>8374</v>
      </c>
      <c r="E3338" s="6" t="s">
        <v>8736</v>
      </c>
      <c r="F3338" s="6" t="s">
        <v>8811</v>
      </c>
      <c r="G3338" s="6" t="s">
        <v>16</v>
      </c>
      <c r="H3338" s="5">
        <v>1</v>
      </c>
      <c r="I3338" s="6" t="s">
        <v>8811</v>
      </c>
      <c r="J3338" s="5">
        <v>270</v>
      </c>
    </row>
    <row r="3339" s="2" customFormat="1" spans="1:10">
      <c r="A3339" s="6">
        <f>3337</f>
        <v>3337</v>
      </c>
      <c r="B3339" s="6" t="s">
        <v>8812</v>
      </c>
      <c r="C3339" s="6" t="s">
        <v>12</v>
      </c>
      <c r="D3339" s="6" t="s">
        <v>8374</v>
      </c>
      <c r="E3339" s="6" t="s">
        <v>8736</v>
      </c>
      <c r="F3339" s="6" t="s">
        <v>8813</v>
      </c>
      <c r="G3339" s="6" t="s">
        <v>16</v>
      </c>
      <c r="H3339" s="5">
        <v>1</v>
      </c>
      <c r="I3339" s="6" t="s">
        <v>8813</v>
      </c>
      <c r="J3339" s="5">
        <v>270</v>
      </c>
    </row>
    <row r="3340" s="2" customFormat="1" spans="1:10">
      <c r="A3340" s="6">
        <f>3338</f>
        <v>3338</v>
      </c>
      <c r="B3340" s="6" t="s">
        <v>8814</v>
      </c>
      <c r="C3340" s="6" t="s">
        <v>12</v>
      </c>
      <c r="D3340" s="6" t="s">
        <v>8374</v>
      </c>
      <c r="E3340" s="6" t="s">
        <v>8736</v>
      </c>
      <c r="F3340" s="6" t="s">
        <v>8815</v>
      </c>
      <c r="G3340" s="6" t="s">
        <v>16</v>
      </c>
      <c r="H3340" s="5">
        <v>2</v>
      </c>
      <c r="I3340" s="6" t="s">
        <v>8816</v>
      </c>
      <c r="J3340" s="5">
        <v>760</v>
      </c>
    </row>
    <row r="3341" s="2" customFormat="1" spans="1:10">
      <c r="A3341" s="6">
        <f>3339</f>
        <v>3339</v>
      </c>
      <c r="B3341" s="6" t="s">
        <v>8817</v>
      </c>
      <c r="C3341" s="6" t="s">
        <v>12</v>
      </c>
      <c r="D3341" s="6" t="s">
        <v>8374</v>
      </c>
      <c r="E3341" s="6" t="s">
        <v>8736</v>
      </c>
      <c r="F3341" s="6" t="s">
        <v>8818</v>
      </c>
      <c r="G3341" s="6" t="s">
        <v>16</v>
      </c>
      <c r="H3341" s="5">
        <v>1</v>
      </c>
      <c r="I3341" s="6" t="s">
        <v>8818</v>
      </c>
      <c r="J3341" s="5">
        <v>260</v>
      </c>
    </row>
    <row r="3342" s="2" customFormat="1" spans="1:10">
      <c r="A3342" s="6">
        <f>3340</f>
        <v>3340</v>
      </c>
      <c r="B3342" s="6" t="s">
        <v>8819</v>
      </c>
      <c r="C3342" s="6" t="s">
        <v>12</v>
      </c>
      <c r="D3342" s="6" t="s">
        <v>8374</v>
      </c>
      <c r="E3342" s="6" t="s">
        <v>8736</v>
      </c>
      <c r="F3342" s="6" t="s">
        <v>8820</v>
      </c>
      <c r="G3342" s="6" t="s">
        <v>16</v>
      </c>
      <c r="H3342" s="5">
        <v>1</v>
      </c>
      <c r="I3342" s="6" t="s">
        <v>8820</v>
      </c>
      <c r="J3342" s="5">
        <v>362</v>
      </c>
    </row>
    <row r="3343" s="2" customFormat="1" ht="27" spans="1:10">
      <c r="A3343" s="6">
        <f>3341</f>
        <v>3341</v>
      </c>
      <c r="B3343" s="6" t="s">
        <v>8821</v>
      </c>
      <c r="C3343" s="6" t="s">
        <v>12</v>
      </c>
      <c r="D3343" s="6" t="s">
        <v>8374</v>
      </c>
      <c r="E3343" s="6" t="s">
        <v>8736</v>
      </c>
      <c r="F3343" s="6" t="s">
        <v>8822</v>
      </c>
      <c r="G3343" s="6" t="s">
        <v>16</v>
      </c>
      <c r="H3343" s="5">
        <v>6</v>
      </c>
      <c r="I3343" s="6" t="s">
        <v>8823</v>
      </c>
      <c r="J3343" s="5">
        <v>1340</v>
      </c>
    </row>
    <row r="3344" s="2" customFormat="1" spans="1:10">
      <c r="A3344" s="6">
        <f>3342</f>
        <v>3342</v>
      </c>
      <c r="B3344" s="6" t="s">
        <v>8824</v>
      </c>
      <c r="C3344" s="6" t="s">
        <v>12</v>
      </c>
      <c r="D3344" s="6" t="s">
        <v>8374</v>
      </c>
      <c r="E3344" s="6" t="s">
        <v>8736</v>
      </c>
      <c r="F3344" s="6" t="s">
        <v>8825</v>
      </c>
      <c r="G3344" s="6" t="s">
        <v>16</v>
      </c>
      <c r="H3344" s="5">
        <v>1</v>
      </c>
      <c r="I3344" s="6" t="s">
        <v>8825</v>
      </c>
      <c r="J3344" s="5">
        <v>270</v>
      </c>
    </row>
    <row r="3345" s="2" customFormat="1" spans="1:10">
      <c r="A3345" s="6">
        <f>3343</f>
        <v>3343</v>
      </c>
      <c r="B3345" s="6" t="s">
        <v>8826</v>
      </c>
      <c r="C3345" s="6" t="s">
        <v>12</v>
      </c>
      <c r="D3345" s="6" t="s">
        <v>8374</v>
      </c>
      <c r="E3345" s="6" t="s">
        <v>8736</v>
      </c>
      <c r="F3345" s="6" t="s">
        <v>8827</v>
      </c>
      <c r="G3345" s="6" t="s">
        <v>16</v>
      </c>
      <c r="H3345" s="5">
        <v>1</v>
      </c>
      <c r="I3345" s="6" t="s">
        <v>8827</v>
      </c>
      <c r="J3345" s="5">
        <v>540</v>
      </c>
    </row>
    <row r="3346" s="2" customFormat="1" spans="1:10">
      <c r="A3346" s="6">
        <f>3344</f>
        <v>3344</v>
      </c>
      <c r="B3346" s="6" t="s">
        <v>8828</v>
      </c>
      <c r="C3346" s="6" t="s">
        <v>12</v>
      </c>
      <c r="D3346" s="6" t="s">
        <v>8374</v>
      </c>
      <c r="E3346" s="6" t="s">
        <v>8736</v>
      </c>
      <c r="F3346" s="6" t="s">
        <v>8829</v>
      </c>
      <c r="G3346" s="6" t="s">
        <v>16</v>
      </c>
      <c r="H3346" s="5">
        <v>1</v>
      </c>
      <c r="I3346" s="6" t="s">
        <v>8829</v>
      </c>
      <c r="J3346" s="5">
        <v>425</v>
      </c>
    </row>
    <row r="3347" s="2" customFormat="1" spans="1:10">
      <c r="A3347" s="6">
        <f>3345</f>
        <v>3345</v>
      </c>
      <c r="B3347" s="6" t="s">
        <v>8830</v>
      </c>
      <c r="C3347" s="6" t="s">
        <v>12</v>
      </c>
      <c r="D3347" s="6" t="s">
        <v>8374</v>
      </c>
      <c r="E3347" s="6" t="s">
        <v>8736</v>
      </c>
      <c r="F3347" s="6" t="s">
        <v>8831</v>
      </c>
      <c r="G3347" s="6" t="s">
        <v>16</v>
      </c>
      <c r="H3347" s="5">
        <v>1</v>
      </c>
      <c r="I3347" s="6" t="s">
        <v>8831</v>
      </c>
      <c r="J3347" s="5">
        <v>360</v>
      </c>
    </row>
    <row r="3348" s="2" customFormat="1" spans="1:10">
      <c r="A3348" s="6">
        <f>3346</f>
        <v>3346</v>
      </c>
      <c r="B3348" s="6" t="s">
        <v>8832</v>
      </c>
      <c r="C3348" s="6" t="s">
        <v>12</v>
      </c>
      <c r="D3348" s="6" t="s">
        <v>8374</v>
      </c>
      <c r="E3348" s="6" t="s">
        <v>8736</v>
      </c>
      <c r="F3348" s="6" t="s">
        <v>8833</v>
      </c>
      <c r="G3348" s="6" t="s">
        <v>16</v>
      </c>
      <c r="H3348" s="5">
        <v>1</v>
      </c>
      <c r="I3348" s="6" t="s">
        <v>8833</v>
      </c>
      <c r="J3348" s="5">
        <v>345</v>
      </c>
    </row>
    <row r="3349" s="2" customFormat="1" spans="1:10">
      <c r="A3349" s="6">
        <f>3347</f>
        <v>3347</v>
      </c>
      <c r="B3349" s="6" t="s">
        <v>8834</v>
      </c>
      <c r="C3349" s="6" t="s">
        <v>12</v>
      </c>
      <c r="D3349" s="6" t="s">
        <v>8374</v>
      </c>
      <c r="E3349" s="6" t="s">
        <v>8736</v>
      </c>
      <c r="F3349" s="6" t="s">
        <v>8835</v>
      </c>
      <c r="G3349" s="6" t="s">
        <v>16</v>
      </c>
      <c r="H3349" s="5">
        <v>2</v>
      </c>
      <c r="I3349" s="6" t="s">
        <v>8836</v>
      </c>
      <c r="J3349" s="5">
        <v>630</v>
      </c>
    </row>
    <row r="3350" s="2" customFormat="1" ht="27" spans="1:10">
      <c r="A3350" s="6">
        <f>3348</f>
        <v>3348</v>
      </c>
      <c r="B3350" s="6" t="s">
        <v>8837</v>
      </c>
      <c r="C3350" s="6" t="s">
        <v>12</v>
      </c>
      <c r="D3350" s="6" t="s">
        <v>8374</v>
      </c>
      <c r="E3350" s="6" t="s">
        <v>8736</v>
      </c>
      <c r="F3350" s="6" t="s">
        <v>8838</v>
      </c>
      <c r="G3350" s="6" t="s">
        <v>16</v>
      </c>
      <c r="H3350" s="5">
        <v>4</v>
      </c>
      <c r="I3350" s="6" t="s">
        <v>8839</v>
      </c>
      <c r="J3350" s="5">
        <v>604</v>
      </c>
    </row>
    <row r="3351" s="2" customFormat="1" spans="1:10">
      <c r="A3351" s="6">
        <f>3349</f>
        <v>3349</v>
      </c>
      <c r="B3351" s="6" t="s">
        <v>8840</v>
      </c>
      <c r="C3351" s="6" t="s">
        <v>12</v>
      </c>
      <c r="D3351" s="6" t="s">
        <v>8374</v>
      </c>
      <c r="E3351" s="6" t="s">
        <v>8736</v>
      </c>
      <c r="F3351" s="6" t="s">
        <v>8841</v>
      </c>
      <c r="G3351" s="6" t="s">
        <v>16</v>
      </c>
      <c r="H3351" s="5">
        <v>1</v>
      </c>
      <c r="I3351" s="6" t="s">
        <v>8841</v>
      </c>
      <c r="J3351" s="5">
        <v>360</v>
      </c>
    </row>
    <row r="3352" s="2" customFormat="1" spans="1:10">
      <c r="A3352" s="6">
        <f>3350</f>
        <v>3350</v>
      </c>
      <c r="B3352" s="6" t="s">
        <v>8842</v>
      </c>
      <c r="C3352" s="6" t="s">
        <v>12</v>
      </c>
      <c r="D3352" s="6" t="s">
        <v>8374</v>
      </c>
      <c r="E3352" s="6" t="s">
        <v>8736</v>
      </c>
      <c r="F3352" s="6" t="s">
        <v>8843</v>
      </c>
      <c r="G3352" s="6" t="s">
        <v>16</v>
      </c>
      <c r="H3352" s="5">
        <v>1</v>
      </c>
      <c r="I3352" s="6" t="s">
        <v>8843</v>
      </c>
      <c r="J3352" s="5">
        <v>345</v>
      </c>
    </row>
    <row r="3353" s="2" customFormat="1" spans="1:10">
      <c r="A3353" s="6">
        <f>3351</f>
        <v>3351</v>
      </c>
      <c r="B3353" s="6" t="s">
        <v>8844</v>
      </c>
      <c r="C3353" s="6" t="s">
        <v>12</v>
      </c>
      <c r="D3353" s="6" t="s">
        <v>8374</v>
      </c>
      <c r="E3353" s="6" t="s">
        <v>8736</v>
      </c>
      <c r="F3353" s="6" t="s">
        <v>8845</v>
      </c>
      <c r="G3353" s="6" t="s">
        <v>16</v>
      </c>
      <c r="H3353" s="5">
        <v>1</v>
      </c>
      <c r="I3353" s="6" t="s">
        <v>8845</v>
      </c>
      <c r="J3353" s="5">
        <v>270</v>
      </c>
    </row>
    <row r="3354" s="2" customFormat="1" ht="27" spans="1:10">
      <c r="A3354" s="6">
        <f>3352</f>
        <v>3352</v>
      </c>
      <c r="B3354" s="6" t="s">
        <v>8846</v>
      </c>
      <c r="C3354" s="6" t="s">
        <v>12</v>
      </c>
      <c r="D3354" s="6" t="s">
        <v>8374</v>
      </c>
      <c r="E3354" s="6" t="s">
        <v>8736</v>
      </c>
      <c r="F3354" s="6" t="s">
        <v>8847</v>
      </c>
      <c r="G3354" s="6" t="s">
        <v>16</v>
      </c>
      <c r="H3354" s="5">
        <v>5</v>
      </c>
      <c r="I3354" s="6" t="s">
        <v>8848</v>
      </c>
      <c r="J3354" s="5">
        <v>1140</v>
      </c>
    </row>
    <row r="3355" s="2" customFormat="1" spans="1:10">
      <c r="A3355" s="6">
        <f>3353</f>
        <v>3353</v>
      </c>
      <c r="B3355" s="6" t="s">
        <v>8849</v>
      </c>
      <c r="C3355" s="6" t="s">
        <v>12</v>
      </c>
      <c r="D3355" s="6" t="s">
        <v>8374</v>
      </c>
      <c r="E3355" s="6" t="s">
        <v>8736</v>
      </c>
      <c r="F3355" s="6" t="s">
        <v>8850</v>
      </c>
      <c r="G3355" s="6" t="s">
        <v>16</v>
      </c>
      <c r="H3355" s="5">
        <v>1</v>
      </c>
      <c r="I3355" s="6" t="s">
        <v>8850</v>
      </c>
      <c r="J3355" s="5">
        <v>270</v>
      </c>
    </row>
    <row r="3356" s="2" customFormat="1" spans="1:10">
      <c r="A3356" s="6">
        <f>3354</f>
        <v>3354</v>
      </c>
      <c r="B3356" s="6" t="s">
        <v>8851</v>
      </c>
      <c r="C3356" s="6" t="s">
        <v>12</v>
      </c>
      <c r="D3356" s="6" t="s">
        <v>8374</v>
      </c>
      <c r="E3356" s="6" t="s">
        <v>8736</v>
      </c>
      <c r="F3356" s="6" t="s">
        <v>8852</v>
      </c>
      <c r="G3356" s="6" t="s">
        <v>16</v>
      </c>
      <c r="H3356" s="5">
        <v>1</v>
      </c>
      <c r="I3356" s="6" t="s">
        <v>8852</v>
      </c>
      <c r="J3356" s="5">
        <v>345</v>
      </c>
    </row>
    <row r="3357" s="2" customFormat="1" spans="1:10">
      <c r="A3357" s="6">
        <f>3355</f>
        <v>3355</v>
      </c>
      <c r="B3357" s="6" t="s">
        <v>8853</v>
      </c>
      <c r="C3357" s="6" t="s">
        <v>12</v>
      </c>
      <c r="D3357" s="6" t="s">
        <v>8374</v>
      </c>
      <c r="E3357" s="6" t="s">
        <v>8736</v>
      </c>
      <c r="F3357" s="6" t="s">
        <v>8854</v>
      </c>
      <c r="G3357" s="6" t="s">
        <v>16</v>
      </c>
      <c r="H3357" s="5">
        <v>1</v>
      </c>
      <c r="I3357" s="6" t="s">
        <v>8854</v>
      </c>
      <c r="J3357" s="5">
        <v>360</v>
      </c>
    </row>
    <row r="3358" s="2" customFormat="1" spans="1:10">
      <c r="A3358" s="6">
        <f>3356</f>
        <v>3356</v>
      </c>
      <c r="B3358" s="6" t="s">
        <v>8855</v>
      </c>
      <c r="C3358" s="6" t="s">
        <v>12</v>
      </c>
      <c r="D3358" s="6" t="s">
        <v>8374</v>
      </c>
      <c r="E3358" s="6" t="s">
        <v>8736</v>
      </c>
      <c r="F3358" s="6" t="s">
        <v>8856</v>
      </c>
      <c r="G3358" s="6" t="s">
        <v>16</v>
      </c>
      <c r="H3358" s="5">
        <v>1</v>
      </c>
      <c r="I3358" s="6" t="s">
        <v>8856</v>
      </c>
      <c r="J3358" s="5">
        <v>310</v>
      </c>
    </row>
    <row r="3359" s="2" customFormat="1" spans="1:10">
      <c r="A3359" s="6">
        <f>3357</f>
        <v>3357</v>
      </c>
      <c r="B3359" s="6" t="s">
        <v>8857</v>
      </c>
      <c r="C3359" s="6" t="s">
        <v>12</v>
      </c>
      <c r="D3359" s="6" t="s">
        <v>8374</v>
      </c>
      <c r="E3359" s="6" t="s">
        <v>8736</v>
      </c>
      <c r="F3359" s="6" t="s">
        <v>8858</v>
      </c>
      <c r="G3359" s="6" t="s">
        <v>16</v>
      </c>
      <c r="H3359" s="5">
        <v>1</v>
      </c>
      <c r="I3359" s="6" t="s">
        <v>8858</v>
      </c>
      <c r="J3359" s="5">
        <v>320</v>
      </c>
    </row>
    <row r="3360" s="2" customFormat="1" spans="1:10">
      <c r="A3360" s="6">
        <f>3358</f>
        <v>3358</v>
      </c>
      <c r="B3360" s="6" t="s">
        <v>8859</v>
      </c>
      <c r="C3360" s="6" t="s">
        <v>12</v>
      </c>
      <c r="D3360" s="6" t="s">
        <v>8374</v>
      </c>
      <c r="E3360" s="6" t="s">
        <v>8736</v>
      </c>
      <c r="F3360" s="6" t="s">
        <v>8860</v>
      </c>
      <c r="G3360" s="6" t="s">
        <v>16</v>
      </c>
      <c r="H3360" s="5">
        <v>1</v>
      </c>
      <c r="I3360" s="6" t="s">
        <v>8860</v>
      </c>
      <c r="J3360" s="5">
        <v>270</v>
      </c>
    </row>
    <row r="3361" s="2" customFormat="1" spans="1:10">
      <c r="A3361" s="6">
        <f>3359</f>
        <v>3359</v>
      </c>
      <c r="B3361" s="6" t="s">
        <v>8861</v>
      </c>
      <c r="C3361" s="6" t="s">
        <v>12</v>
      </c>
      <c r="D3361" s="6" t="s">
        <v>8374</v>
      </c>
      <c r="E3361" s="6" t="s">
        <v>8736</v>
      </c>
      <c r="F3361" s="6" t="s">
        <v>8862</v>
      </c>
      <c r="G3361" s="6" t="s">
        <v>16</v>
      </c>
      <c r="H3361" s="5">
        <v>2</v>
      </c>
      <c r="I3361" s="6" t="s">
        <v>8863</v>
      </c>
      <c r="J3361" s="5">
        <v>520</v>
      </c>
    </row>
    <row r="3362" s="2" customFormat="1" spans="1:10">
      <c r="A3362" s="6">
        <f>3360</f>
        <v>3360</v>
      </c>
      <c r="B3362" s="6" t="s">
        <v>8864</v>
      </c>
      <c r="C3362" s="6" t="s">
        <v>12</v>
      </c>
      <c r="D3362" s="6" t="s">
        <v>8374</v>
      </c>
      <c r="E3362" s="6" t="s">
        <v>8736</v>
      </c>
      <c r="F3362" s="6" t="s">
        <v>8865</v>
      </c>
      <c r="G3362" s="6" t="s">
        <v>16</v>
      </c>
      <c r="H3362" s="5">
        <v>1</v>
      </c>
      <c r="I3362" s="6" t="s">
        <v>8865</v>
      </c>
      <c r="J3362" s="5">
        <v>300</v>
      </c>
    </row>
    <row r="3363" s="2" customFormat="1" spans="1:10">
      <c r="A3363" s="6">
        <f>3361</f>
        <v>3361</v>
      </c>
      <c r="B3363" s="6" t="s">
        <v>8866</v>
      </c>
      <c r="C3363" s="6" t="s">
        <v>12</v>
      </c>
      <c r="D3363" s="6" t="s">
        <v>8374</v>
      </c>
      <c r="E3363" s="6" t="s">
        <v>8736</v>
      </c>
      <c r="F3363" s="6" t="s">
        <v>8867</v>
      </c>
      <c r="G3363" s="6" t="s">
        <v>16</v>
      </c>
      <c r="H3363" s="5">
        <v>1</v>
      </c>
      <c r="I3363" s="6" t="s">
        <v>8867</v>
      </c>
      <c r="J3363" s="5">
        <v>360</v>
      </c>
    </row>
    <row r="3364" s="2" customFormat="1" spans="1:10">
      <c r="A3364" s="6">
        <f>3362</f>
        <v>3362</v>
      </c>
      <c r="B3364" s="6" t="s">
        <v>8868</v>
      </c>
      <c r="C3364" s="6" t="s">
        <v>12</v>
      </c>
      <c r="D3364" s="6" t="s">
        <v>8374</v>
      </c>
      <c r="E3364" s="6" t="s">
        <v>8736</v>
      </c>
      <c r="F3364" s="6" t="s">
        <v>8869</v>
      </c>
      <c r="G3364" s="6" t="s">
        <v>16</v>
      </c>
      <c r="H3364" s="5">
        <v>1</v>
      </c>
      <c r="I3364" s="6" t="s">
        <v>8869</v>
      </c>
      <c r="J3364" s="5">
        <v>360</v>
      </c>
    </row>
    <row r="3365" s="2" customFormat="1" spans="1:10">
      <c r="A3365" s="6">
        <f>3363</f>
        <v>3363</v>
      </c>
      <c r="B3365" s="6" t="s">
        <v>8870</v>
      </c>
      <c r="C3365" s="6" t="s">
        <v>12</v>
      </c>
      <c r="D3365" s="6" t="s">
        <v>8374</v>
      </c>
      <c r="E3365" s="6" t="s">
        <v>8736</v>
      </c>
      <c r="F3365" s="6" t="s">
        <v>8871</v>
      </c>
      <c r="G3365" s="6" t="s">
        <v>16</v>
      </c>
      <c r="H3365" s="5">
        <v>2</v>
      </c>
      <c r="I3365" s="6" t="s">
        <v>8872</v>
      </c>
      <c r="J3365" s="5">
        <v>680</v>
      </c>
    </row>
    <row r="3366" s="2" customFormat="1" spans="1:10">
      <c r="A3366" s="6">
        <f>3364</f>
        <v>3364</v>
      </c>
      <c r="B3366" s="6" t="s">
        <v>8873</v>
      </c>
      <c r="C3366" s="6" t="s">
        <v>12</v>
      </c>
      <c r="D3366" s="6" t="s">
        <v>8374</v>
      </c>
      <c r="E3366" s="6" t="s">
        <v>8736</v>
      </c>
      <c r="F3366" s="6" t="s">
        <v>8874</v>
      </c>
      <c r="G3366" s="6" t="s">
        <v>16</v>
      </c>
      <c r="H3366" s="5">
        <v>1</v>
      </c>
      <c r="I3366" s="6" t="s">
        <v>8874</v>
      </c>
      <c r="J3366" s="5">
        <v>270</v>
      </c>
    </row>
    <row r="3367" s="2" customFormat="1" spans="1:10">
      <c r="A3367" s="6">
        <f>3365</f>
        <v>3365</v>
      </c>
      <c r="B3367" s="6" t="s">
        <v>8875</v>
      </c>
      <c r="C3367" s="6" t="s">
        <v>12</v>
      </c>
      <c r="D3367" s="6" t="s">
        <v>8374</v>
      </c>
      <c r="E3367" s="6" t="s">
        <v>8736</v>
      </c>
      <c r="F3367" s="6" t="s">
        <v>8876</v>
      </c>
      <c r="G3367" s="6" t="s">
        <v>16</v>
      </c>
      <c r="H3367" s="5">
        <v>1</v>
      </c>
      <c r="I3367" s="6" t="s">
        <v>8876</v>
      </c>
      <c r="J3367" s="5">
        <v>360</v>
      </c>
    </row>
    <row r="3368" s="2" customFormat="1" spans="1:10">
      <c r="A3368" s="6">
        <f>3366</f>
        <v>3366</v>
      </c>
      <c r="B3368" s="6" t="s">
        <v>8877</v>
      </c>
      <c r="C3368" s="6" t="s">
        <v>12</v>
      </c>
      <c r="D3368" s="6" t="s">
        <v>8374</v>
      </c>
      <c r="E3368" s="6" t="s">
        <v>8736</v>
      </c>
      <c r="F3368" s="6" t="s">
        <v>8878</v>
      </c>
      <c r="G3368" s="6" t="s">
        <v>16</v>
      </c>
      <c r="H3368" s="5">
        <v>1</v>
      </c>
      <c r="I3368" s="6" t="s">
        <v>8878</v>
      </c>
      <c r="J3368" s="5">
        <v>360</v>
      </c>
    </row>
    <row r="3369" s="2" customFormat="1" spans="1:10">
      <c r="A3369" s="6">
        <f>3367</f>
        <v>3367</v>
      </c>
      <c r="B3369" s="6" t="s">
        <v>8879</v>
      </c>
      <c r="C3369" s="6" t="s">
        <v>12</v>
      </c>
      <c r="D3369" s="6" t="s">
        <v>8374</v>
      </c>
      <c r="E3369" s="6" t="s">
        <v>8736</v>
      </c>
      <c r="F3369" s="6" t="s">
        <v>8880</v>
      </c>
      <c r="G3369" s="6" t="s">
        <v>16</v>
      </c>
      <c r="H3369" s="5">
        <v>2</v>
      </c>
      <c r="I3369" s="6" t="s">
        <v>8881</v>
      </c>
      <c r="J3369" s="5">
        <v>520</v>
      </c>
    </row>
    <row r="3370" s="2" customFormat="1" spans="1:10">
      <c r="A3370" s="6">
        <f>3368</f>
        <v>3368</v>
      </c>
      <c r="B3370" s="6" t="s">
        <v>8882</v>
      </c>
      <c r="C3370" s="6" t="s">
        <v>12</v>
      </c>
      <c r="D3370" s="6" t="s">
        <v>8374</v>
      </c>
      <c r="E3370" s="6" t="s">
        <v>8736</v>
      </c>
      <c r="F3370" s="6" t="s">
        <v>7340</v>
      </c>
      <c r="G3370" s="6" t="s">
        <v>16</v>
      </c>
      <c r="H3370" s="5">
        <v>1</v>
      </c>
      <c r="I3370" s="6" t="s">
        <v>7340</v>
      </c>
      <c r="J3370" s="5">
        <v>270</v>
      </c>
    </row>
    <row r="3371" s="2" customFormat="1" spans="1:10">
      <c r="A3371" s="6">
        <f>3369</f>
        <v>3369</v>
      </c>
      <c r="B3371" s="6" t="s">
        <v>8883</v>
      </c>
      <c r="C3371" s="6" t="s">
        <v>12</v>
      </c>
      <c r="D3371" s="6" t="s">
        <v>8374</v>
      </c>
      <c r="E3371" s="6" t="s">
        <v>8736</v>
      </c>
      <c r="F3371" s="6" t="s">
        <v>8884</v>
      </c>
      <c r="G3371" s="6" t="s">
        <v>16</v>
      </c>
      <c r="H3371" s="5">
        <v>1</v>
      </c>
      <c r="I3371" s="6" t="s">
        <v>8884</v>
      </c>
      <c r="J3371" s="5">
        <v>360</v>
      </c>
    </row>
    <row r="3372" s="2" customFormat="1" spans="1:10">
      <c r="A3372" s="6">
        <f>3370</f>
        <v>3370</v>
      </c>
      <c r="B3372" s="6" t="s">
        <v>8885</v>
      </c>
      <c r="C3372" s="6" t="s">
        <v>12</v>
      </c>
      <c r="D3372" s="6" t="s">
        <v>8374</v>
      </c>
      <c r="E3372" s="6" t="s">
        <v>8736</v>
      </c>
      <c r="F3372" s="6" t="s">
        <v>8886</v>
      </c>
      <c r="G3372" s="6" t="s">
        <v>16</v>
      </c>
      <c r="H3372" s="5">
        <v>1</v>
      </c>
      <c r="I3372" s="6" t="s">
        <v>8886</v>
      </c>
      <c r="J3372" s="5">
        <v>265</v>
      </c>
    </row>
    <row r="3373" s="2" customFormat="1" ht="27" spans="1:10">
      <c r="A3373" s="6">
        <f>3371</f>
        <v>3371</v>
      </c>
      <c r="B3373" s="6" t="s">
        <v>8887</v>
      </c>
      <c r="C3373" s="6" t="s">
        <v>12</v>
      </c>
      <c r="D3373" s="6" t="s">
        <v>8374</v>
      </c>
      <c r="E3373" s="6" t="s">
        <v>8736</v>
      </c>
      <c r="F3373" s="6" t="s">
        <v>8888</v>
      </c>
      <c r="G3373" s="6" t="s">
        <v>16</v>
      </c>
      <c r="H3373" s="5">
        <v>4</v>
      </c>
      <c r="I3373" s="6" t="s">
        <v>8889</v>
      </c>
      <c r="J3373" s="5">
        <v>738</v>
      </c>
    </row>
    <row r="3374" s="2" customFormat="1" spans="1:10">
      <c r="A3374" s="6">
        <f>3372</f>
        <v>3372</v>
      </c>
      <c r="B3374" s="6" t="s">
        <v>8890</v>
      </c>
      <c r="C3374" s="6" t="s">
        <v>12</v>
      </c>
      <c r="D3374" s="6" t="s">
        <v>8374</v>
      </c>
      <c r="E3374" s="6" t="s">
        <v>8736</v>
      </c>
      <c r="F3374" s="6" t="s">
        <v>8138</v>
      </c>
      <c r="G3374" s="6" t="s">
        <v>16</v>
      </c>
      <c r="H3374" s="5">
        <v>1</v>
      </c>
      <c r="I3374" s="6" t="s">
        <v>8138</v>
      </c>
      <c r="J3374" s="5">
        <v>480</v>
      </c>
    </row>
    <row r="3375" s="2" customFormat="1" spans="1:10">
      <c r="A3375" s="6">
        <f>3373</f>
        <v>3373</v>
      </c>
      <c r="B3375" s="6" t="s">
        <v>8891</v>
      </c>
      <c r="C3375" s="6" t="s">
        <v>12</v>
      </c>
      <c r="D3375" s="6" t="s">
        <v>8374</v>
      </c>
      <c r="E3375" s="6" t="s">
        <v>8736</v>
      </c>
      <c r="F3375" s="6" t="s">
        <v>8892</v>
      </c>
      <c r="G3375" s="6" t="s">
        <v>16</v>
      </c>
      <c r="H3375" s="5">
        <v>2</v>
      </c>
      <c r="I3375" s="6" t="s">
        <v>8893</v>
      </c>
      <c r="J3375" s="5">
        <v>580</v>
      </c>
    </row>
    <row r="3376" s="2" customFormat="1" ht="27" spans="1:10">
      <c r="A3376" s="6">
        <f>3374</f>
        <v>3374</v>
      </c>
      <c r="B3376" s="6" t="s">
        <v>8894</v>
      </c>
      <c r="C3376" s="6" t="s">
        <v>12</v>
      </c>
      <c r="D3376" s="6" t="s">
        <v>8374</v>
      </c>
      <c r="E3376" s="6" t="s">
        <v>8736</v>
      </c>
      <c r="F3376" s="6" t="s">
        <v>8895</v>
      </c>
      <c r="G3376" s="6" t="s">
        <v>16</v>
      </c>
      <c r="H3376" s="5">
        <v>5</v>
      </c>
      <c r="I3376" s="6" t="s">
        <v>8896</v>
      </c>
      <c r="J3376" s="5">
        <v>600</v>
      </c>
    </row>
    <row r="3377" s="2" customFormat="1" spans="1:10">
      <c r="A3377" s="6">
        <f>3375</f>
        <v>3375</v>
      </c>
      <c r="B3377" s="6" t="s">
        <v>8897</v>
      </c>
      <c r="C3377" s="6" t="s">
        <v>12</v>
      </c>
      <c r="D3377" s="6" t="s">
        <v>8374</v>
      </c>
      <c r="E3377" s="6" t="s">
        <v>8736</v>
      </c>
      <c r="F3377" s="6" t="s">
        <v>8898</v>
      </c>
      <c r="G3377" s="6" t="s">
        <v>16</v>
      </c>
      <c r="H3377" s="5">
        <v>1</v>
      </c>
      <c r="I3377" s="6" t="s">
        <v>8898</v>
      </c>
      <c r="J3377" s="5">
        <v>370</v>
      </c>
    </row>
    <row r="3378" s="2" customFormat="1" ht="27" spans="1:10">
      <c r="A3378" s="6">
        <f>3376</f>
        <v>3376</v>
      </c>
      <c r="B3378" s="6" t="s">
        <v>8899</v>
      </c>
      <c r="C3378" s="6" t="s">
        <v>12</v>
      </c>
      <c r="D3378" s="6" t="s">
        <v>8374</v>
      </c>
      <c r="E3378" s="6" t="s">
        <v>8736</v>
      </c>
      <c r="F3378" s="6" t="s">
        <v>8900</v>
      </c>
      <c r="G3378" s="6" t="s">
        <v>16</v>
      </c>
      <c r="H3378" s="5">
        <v>5</v>
      </c>
      <c r="I3378" s="6" t="s">
        <v>8901</v>
      </c>
      <c r="J3378" s="5">
        <v>980</v>
      </c>
    </row>
    <row r="3379" s="2" customFormat="1" spans="1:10">
      <c r="A3379" s="6">
        <f>3377</f>
        <v>3377</v>
      </c>
      <c r="B3379" s="6" t="s">
        <v>8902</v>
      </c>
      <c r="C3379" s="6" t="s">
        <v>12</v>
      </c>
      <c r="D3379" s="6" t="s">
        <v>8374</v>
      </c>
      <c r="E3379" s="6" t="s">
        <v>8736</v>
      </c>
      <c r="F3379" s="6" t="s">
        <v>8903</v>
      </c>
      <c r="G3379" s="6" t="s">
        <v>16</v>
      </c>
      <c r="H3379" s="5">
        <v>1</v>
      </c>
      <c r="I3379" s="6" t="s">
        <v>8903</v>
      </c>
      <c r="J3379" s="5">
        <v>267</v>
      </c>
    </row>
    <row r="3380" s="2" customFormat="1" spans="1:10">
      <c r="A3380" s="6">
        <f>3378</f>
        <v>3378</v>
      </c>
      <c r="B3380" s="6" t="s">
        <v>8904</v>
      </c>
      <c r="C3380" s="6" t="s">
        <v>12</v>
      </c>
      <c r="D3380" s="6" t="s">
        <v>8374</v>
      </c>
      <c r="E3380" s="6" t="s">
        <v>8736</v>
      </c>
      <c r="F3380" s="6" t="s">
        <v>8905</v>
      </c>
      <c r="G3380" s="6" t="s">
        <v>16</v>
      </c>
      <c r="H3380" s="5">
        <v>1</v>
      </c>
      <c r="I3380" s="6" t="s">
        <v>8905</v>
      </c>
      <c r="J3380" s="5">
        <v>300</v>
      </c>
    </row>
    <row r="3381" s="2" customFormat="1" spans="1:10">
      <c r="A3381" s="6">
        <f>3379</f>
        <v>3379</v>
      </c>
      <c r="B3381" s="6" t="s">
        <v>8906</v>
      </c>
      <c r="C3381" s="6" t="s">
        <v>12</v>
      </c>
      <c r="D3381" s="6" t="s">
        <v>8374</v>
      </c>
      <c r="E3381" s="6" t="s">
        <v>8736</v>
      </c>
      <c r="F3381" s="6" t="s">
        <v>8907</v>
      </c>
      <c r="G3381" s="6" t="s">
        <v>16</v>
      </c>
      <c r="H3381" s="5">
        <v>1</v>
      </c>
      <c r="I3381" s="6" t="s">
        <v>8907</v>
      </c>
      <c r="J3381" s="5">
        <v>410</v>
      </c>
    </row>
    <row r="3382" s="2" customFormat="1" spans="1:10">
      <c r="A3382" s="6">
        <f>3380</f>
        <v>3380</v>
      </c>
      <c r="B3382" s="6" t="s">
        <v>8908</v>
      </c>
      <c r="C3382" s="6" t="s">
        <v>12</v>
      </c>
      <c r="D3382" s="6" t="s">
        <v>8374</v>
      </c>
      <c r="E3382" s="6" t="s">
        <v>8736</v>
      </c>
      <c r="F3382" s="6" t="s">
        <v>8909</v>
      </c>
      <c r="G3382" s="6" t="s">
        <v>16</v>
      </c>
      <c r="H3382" s="5">
        <v>3</v>
      </c>
      <c r="I3382" s="6" t="s">
        <v>8910</v>
      </c>
      <c r="J3382" s="5">
        <v>540</v>
      </c>
    </row>
    <row r="3383" s="2" customFormat="1" spans="1:10">
      <c r="A3383" s="6">
        <f>3381</f>
        <v>3381</v>
      </c>
      <c r="B3383" s="6" t="s">
        <v>8911</v>
      </c>
      <c r="C3383" s="6" t="s">
        <v>12</v>
      </c>
      <c r="D3383" s="6" t="s">
        <v>8374</v>
      </c>
      <c r="E3383" s="6" t="s">
        <v>8736</v>
      </c>
      <c r="F3383" s="6" t="s">
        <v>8884</v>
      </c>
      <c r="G3383" s="6" t="s">
        <v>16</v>
      </c>
      <c r="H3383" s="5">
        <v>1</v>
      </c>
      <c r="I3383" s="6" t="s">
        <v>8884</v>
      </c>
      <c r="J3383" s="5">
        <v>410</v>
      </c>
    </row>
    <row r="3384" s="2" customFormat="1" spans="1:10">
      <c r="A3384" s="6">
        <f>3382</f>
        <v>3382</v>
      </c>
      <c r="B3384" s="6" t="s">
        <v>8912</v>
      </c>
      <c r="C3384" s="6" t="s">
        <v>12</v>
      </c>
      <c r="D3384" s="6" t="s">
        <v>8374</v>
      </c>
      <c r="E3384" s="6" t="s">
        <v>8736</v>
      </c>
      <c r="F3384" s="6" t="s">
        <v>8913</v>
      </c>
      <c r="G3384" s="6" t="s">
        <v>16</v>
      </c>
      <c r="H3384" s="5">
        <v>1</v>
      </c>
      <c r="I3384" s="6" t="s">
        <v>8913</v>
      </c>
      <c r="J3384" s="5">
        <v>265</v>
      </c>
    </row>
    <row r="3385" s="2" customFormat="1" spans="1:10">
      <c r="A3385" s="6">
        <f>3383</f>
        <v>3383</v>
      </c>
      <c r="B3385" s="6" t="s">
        <v>8914</v>
      </c>
      <c r="C3385" s="6" t="s">
        <v>12</v>
      </c>
      <c r="D3385" s="6" t="s">
        <v>8374</v>
      </c>
      <c r="E3385" s="6" t="s">
        <v>8736</v>
      </c>
      <c r="F3385" s="6" t="s">
        <v>8915</v>
      </c>
      <c r="G3385" s="6" t="s">
        <v>16</v>
      </c>
      <c r="H3385" s="5">
        <v>2</v>
      </c>
      <c r="I3385" s="6" t="s">
        <v>8916</v>
      </c>
      <c r="J3385" s="5">
        <v>710</v>
      </c>
    </row>
    <row r="3386" s="2" customFormat="1" spans="1:10">
      <c r="A3386" s="6">
        <f>3384</f>
        <v>3384</v>
      </c>
      <c r="B3386" s="6" t="s">
        <v>8917</v>
      </c>
      <c r="C3386" s="6" t="s">
        <v>12</v>
      </c>
      <c r="D3386" s="6" t="s">
        <v>8374</v>
      </c>
      <c r="E3386" s="6" t="s">
        <v>8918</v>
      </c>
      <c r="F3386" s="6" t="s">
        <v>8919</v>
      </c>
      <c r="G3386" s="6" t="s">
        <v>16</v>
      </c>
      <c r="H3386" s="5">
        <v>3</v>
      </c>
      <c r="I3386" s="6" t="s">
        <v>8920</v>
      </c>
      <c r="J3386" s="5">
        <v>850</v>
      </c>
    </row>
    <row r="3387" s="2" customFormat="1" spans="1:10">
      <c r="A3387" s="6">
        <f>3385</f>
        <v>3385</v>
      </c>
      <c r="B3387" s="6" t="s">
        <v>8921</v>
      </c>
      <c r="C3387" s="6" t="s">
        <v>12</v>
      </c>
      <c r="D3387" s="6" t="s">
        <v>8374</v>
      </c>
      <c r="E3387" s="6" t="s">
        <v>8918</v>
      </c>
      <c r="F3387" s="6" t="s">
        <v>8922</v>
      </c>
      <c r="G3387" s="6" t="s">
        <v>16</v>
      </c>
      <c r="H3387" s="5">
        <v>2</v>
      </c>
      <c r="I3387" s="6" t="s">
        <v>8923</v>
      </c>
      <c r="J3387" s="5">
        <v>420</v>
      </c>
    </row>
    <row r="3388" s="2" customFormat="1" ht="27" spans="1:10">
      <c r="A3388" s="6">
        <f>3386</f>
        <v>3386</v>
      </c>
      <c r="B3388" s="6" t="s">
        <v>8924</v>
      </c>
      <c r="C3388" s="6" t="s">
        <v>12</v>
      </c>
      <c r="D3388" s="6" t="s">
        <v>8374</v>
      </c>
      <c r="E3388" s="6" t="s">
        <v>8918</v>
      </c>
      <c r="F3388" s="6" t="s">
        <v>8925</v>
      </c>
      <c r="G3388" s="6" t="s">
        <v>16</v>
      </c>
      <c r="H3388" s="5">
        <v>4</v>
      </c>
      <c r="I3388" s="6" t="s">
        <v>8926</v>
      </c>
      <c r="J3388" s="5">
        <v>940</v>
      </c>
    </row>
    <row r="3389" s="2" customFormat="1" spans="1:10">
      <c r="A3389" s="6">
        <f>3387</f>
        <v>3387</v>
      </c>
      <c r="B3389" s="6" t="s">
        <v>8927</v>
      </c>
      <c r="C3389" s="6" t="s">
        <v>12</v>
      </c>
      <c r="D3389" s="6" t="s">
        <v>8374</v>
      </c>
      <c r="E3389" s="6" t="s">
        <v>8918</v>
      </c>
      <c r="F3389" s="6" t="s">
        <v>8928</v>
      </c>
      <c r="G3389" s="6" t="s">
        <v>16</v>
      </c>
      <c r="H3389" s="5">
        <v>2</v>
      </c>
      <c r="I3389" s="6" t="s">
        <v>8929</v>
      </c>
      <c r="J3389" s="5">
        <v>480</v>
      </c>
    </row>
    <row r="3390" s="2" customFormat="1" spans="1:10">
      <c r="A3390" s="6">
        <f>3388</f>
        <v>3388</v>
      </c>
      <c r="B3390" s="6" t="s">
        <v>8930</v>
      </c>
      <c r="C3390" s="6" t="s">
        <v>12</v>
      </c>
      <c r="D3390" s="6" t="s">
        <v>8374</v>
      </c>
      <c r="E3390" s="6" t="s">
        <v>8918</v>
      </c>
      <c r="F3390" s="6" t="s">
        <v>8931</v>
      </c>
      <c r="G3390" s="6" t="s">
        <v>16</v>
      </c>
      <c r="H3390" s="5">
        <v>2</v>
      </c>
      <c r="I3390" s="6" t="s">
        <v>8932</v>
      </c>
      <c r="J3390" s="5">
        <v>520</v>
      </c>
    </row>
    <row r="3391" s="2" customFormat="1" ht="27" spans="1:10">
      <c r="A3391" s="6">
        <f>3389</f>
        <v>3389</v>
      </c>
      <c r="B3391" s="6" t="s">
        <v>8933</v>
      </c>
      <c r="C3391" s="6" t="s">
        <v>12</v>
      </c>
      <c r="D3391" s="6" t="s">
        <v>8374</v>
      </c>
      <c r="E3391" s="6" t="s">
        <v>8918</v>
      </c>
      <c r="F3391" s="6" t="s">
        <v>8934</v>
      </c>
      <c r="G3391" s="6" t="s">
        <v>16</v>
      </c>
      <c r="H3391" s="5">
        <v>4</v>
      </c>
      <c r="I3391" s="6" t="s">
        <v>8935</v>
      </c>
      <c r="J3391" s="5">
        <v>1160</v>
      </c>
    </row>
    <row r="3392" s="2" customFormat="1" spans="1:10">
      <c r="A3392" s="6">
        <f>3390</f>
        <v>3390</v>
      </c>
      <c r="B3392" s="6" t="s">
        <v>8936</v>
      </c>
      <c r="C3392" s="6" t="s">
        <v>12</v>
      </c>
      <c r="D3392" s="6" t="s">
        <v>8374</v>
      </c>
      <c r="E3392" s="6" t="s">
        <v>8918</v>
      </c>
      <c r="F3392" s="6" t="s">
        <v>8937</v>
      </c>
      <c r="G3392" s="6" t="s">
        <v>16</v>
      </c>
      <c r="H3392" s="5">
        <v>1</v>
      </c>
      <c r="I3392" s="6" t="s">
        <v>8937</v>
      </c>
      <c r="J3392" s="5">
        <v>540</v>
      </c>
    </row>
    <row r="3393" s="2" customFormat="1" spans="1:10">
      <c r="A3393" s="6">
        <f>3391</f>
        <v>3391</v>
      </c>
      <c r="B3393" s="6" t="s">
        <v>8938</v>
      </c>
      <c r="C3393" s="6" t="s">
        <v>12</v>
      </c>
      <c r="D3393" s="6" t="s">
        <v>8374</v>
      </c>
      <c r="E3393" s="6" t="s">
        <v>8918</v>
      </c>
      <c r="F3393" s="6" t="s">
        <v>8939</v>
      </c>
      <c r="G3393" s="6" t="s">
        <v>16</v>
      </c>
      <c r="H3393" s="5">
        <v>3</v>
      </c>
      <c r="I3393" s="6" t="s">
        <v>8940</v>
      </c>
      <c r="J3393" s="5">
        <v>826</v>
      </c>
    </row>
    <row r="3394" s="2" customFormat="1" spans="1:10">
      <c r="A3394" s="6">
        <f>3392</f>
        <v>3392</v>
      </c>
      <c r="B3394" s="6" t="s">
        <v>8941</v>
      </c>
      <c r="C3394" s="6" t="s">
        <v>12</v>
      </c>
      <c r="D3394" s="6" t="s">
        <v>8374</v>
      </c>
      <c r="E3394" s="6" t="s">
        <v>8918</v>
      </c>
      <c r="F3394" s="6" t="s">
        <v>8942</v>
      </c>
      <c r="G3394" s="6" t="s">
        <v>16</v>
      </c>
      <c r="H3394" s="5">
        <v>2</v>
      </c>
      <c r="I3394" s="6" t="s">
        <v>8943</v>
      </c>
      <c r="J3394" s="5">
        <v>900</v>
      </c>
    </row>
    <row r="3395" s="2" customFormat="1" ht="27" spans="1:10">
      <c r="A3395" s="6">
        <f>3393</f>
        <v>3393</v>
      </c>
      <c r="B3395" s="6" t="s">
        <v>8944</v>
      </c>
      <c r="C3395" s="6" t="s">
        <v>12</v>
      </c>
      <c r="D3395" s="6" t="s">
        <v>8374</v>
      </c>
      <c r="E3395" s="6" t="s">
        <v>8918</v>
      </c>
      <c r="F3395" s="6" t="s">
        <v>8945</v>
      </c>
      <c r="G3395" s="6" t="s">
        <v>16</v>
      </c>
      <c r="H3395" s="5">
        <v>4</v>
      </c>
      <c r="I3395" s="6" t="s">
        <v>8946</v>
      </c>
      <c r="J3395" s="5">
        <v>960</v>
      </c>
    </row>
    <row r="3396" s="2" customFormat="1" ht="27" spans="1:10">
      <c r="A3396" s="6">
        <f>3394</f>
        <v>3394</v>
      </c>
      <c r="B3396" s="6" t="s">
        <v>8947</v>
      </c>
      <c r="C3396" s="6" t="s">
        <v>12</v>
      </c>
      <c r="D3396" s="6" t="s">
        <v>8374</v>
      </c>
      <c r="E3396" s="6" t="s">
        <v>8918</v>
      </c>
      <c r="F3396" s="6" t="s">
        <v>8948</v>
      </c>
      <c r="G3396" s="6" t="s">
        <v>16</v>
      </c>
      <c r="H3396" s="5">
        <v>5</v>
      </c>
      <c r="I3396" s="6" t="s">
        <v>8949</v>
      </c>
      <c r="J3396" s="5">
        <v>815</v>
      </c>
    </row>
    <row r="3397" s="2" customFormat="1" ht="27" spans="1:10">
      <c r="A3397" s="6">
        <f>3395</f>
        <v>3395</v>
      </c>
      <c r="B3397" s="6" t="s">
        <v>8950</v>
      </c>
      <c r="C3397" s="6" t="s">
        <v>12</v>
      </c>
      <c r="D3397" s="6" t="s">
        <v>8374</v>
      </c>
      <c r="E3397" s="6" t="s">
        <v>8918</v>
      </c>
      <c r="F3397" s="6" t="s">
        <v>8951</v>
      </c>
      <c r="G3397" s="6" t="s">
        <v>16</v>
      </c>
      <c r="H3397" s="5">
        <v>5</v>
      </c>
      <c r="I3397" s="6" t="s">
        <v>8952</v>
      </c>
      <c r="J3397" s="5">
        <v>820</v>
      </c>
    </row>
    <row r="3398" s="2" customFormat="1" spans="1:10">
      <c r="A3398" s="6">
        <f>3396</f>
        <v>3396</v>
      </c>
      <c r="B3398" s="6" t="s">
        <v>8953</v>
      </c>
      <c r="C3398" s="6" t="s">
        <v>12</v>
      </c>
      <c r="D3398" s="6" t="s">
        <v>8374</v>
      </c>
      <c r="E3398" s="6" t="s">
        <v>8918</v>
      </c>
      <c r="F3398" s="6" t="s">
        <v>8954</v>
      </c>
      <c r="G3398" s="6" t="s">
        <v>16</v>
      </c>
      <c r="H3398" s="5">
        <v>3</v>
      </c>
      <c r="I3398" s="6" t="s">
        <v>8955</v>
      </c>
      <c r="J3398" s="5">
        <v>540</v>
      </c>
    </row>
    <row r="3399" s="2" customFormat="1" ht="27" spans="1:10">
      <c r="A3399" s="6">
        <f>3397</f>
        <v>3397</v>
      </c>
      <c r="B3399" s="6" t="s">
        <v>8956</v>
      </c>
      <c r="C3399" s="6" t="s">
        <v>12</v>
      </c>
      <c r="D3399" s="6" t="s">
        <v>8374</v>
      </c>
      <c r="E3399" s="6" t="s">
        <v>8918</v>
      </c>
      <c r="F3399" s="6" t="s">
        <v>8957</v>
      </c>
      <c r="G3399" s="6" t="s">
        <v>16</v>
      </c>
      <c r="H3399" s="5">
        <v>6</v>
      </c>
      <c r="I3399" s="6" t="s">
        <v>8958</v>
      </c>
      <c r="J3399" s="5">
        <v>1610</v>
      </c>
    </row>
    <row r="3400" s="2" customFormat="1" spans="1:10">
      <c r="A3400" s="6">
        <f>3398</f>
        <v>3398</v>
      </c>
      <c r="B3400" s="6" t="s">
        <v>8959</v>
      </c>
      <c r="C3400" s="6" t="s">
        <v>12</v>
      </c>
      <c r="D3400" s="6" t="s">
        <v>8374</v>
      </c>
      <c r="E3400" s="6" t="s">
        <v>8918</v>
      </c>
      <c r="F3400" s="6" t="s">
        <v>7813</v>
      </c>
      <c r="G3400" s="6" t="s">
        <v>16</v>
      </c>
      <c r="H3400" s="5">
        <v>1</v>
      </c>
      <c r="I3400" s="6" t="s">
        <v>7813</v>
      </c>
      <c r="J3400" s="5">
        <v>270</v>
      </c>
    </row>
    <row r="3401" s="2" customFormat="1" ht="27" spans="1:10">
      <c r="A3401" s="6">
        <f>3399</f>
        <v>3399</v>
      </c>
      <c r="B3401" s="6" t="s">
        <v>8960</v>
      </c>
      <c r="C3401" s="6" t="s">
        <v>12</v>
      </c>
      <c r="D3401" s="6" t="s">
        <v>8374</v>
      </c>
      <c r="E3401" s="6" t="s">
        <v>8918</v>
      </c>
      <c r="F3401" s="6" t="s">
        <v>6741</v>
      </c>
      <c r="G3401" s="6" t="s">
        <v>16</v>
      </c>
      <c r="H3401" s="5">
        <v>4</v>
      </c>
      <c r="I3401" s="6" t="s">
        <v>8961</v>
      </c>
      <c r="J3401" s="5">
        <v>660</v>
      </c>
    </row>
    <row r="3402" s="2" customFormat="1" spans="1:10">
      <c r="A3402" s="6">
        <f>3400</f>
        <v>3400</v>
      </c>
      <c r="B3402" s="6" t="s">
        <v>8962</v>
      </c>
      <c r="C3402" s="6" t="s">
        <v>12</v>
      </c>
      <c r="D3402" s="6" t="s">
        <v>8374</v>
      </c>
      <c r="E3402" s="6" t="s">
        <v>8918</v>
      </c>
      <c r="F3402" s="6" t="s">
        <v>8963</v>
      </c>
      <c r="G3402" s="6" t="s">
        <v>16</v>
      </c>
      <c r="H3402" s="5">
        <v>1</v>
      </c>
      <c r="I3402" s="6" t="s">
        <v>8963</v>
      </c>
      <c r="J3402" s="5">
        <v>420</v>
      </c>
    </row>
    <row r="3403" s="2" customFormat="1" ht="27" spans="1:10">
      <c r="A3403" s="6">
        <f>3401</f>
        <v>3401</v>
      </c>
      <c r="B3403" s="6" t="s">
        <v>8964</v>
      </c>
      <c r="C3403" s="6" t="s">
        <v>12</v>
      </c>
      <c r="D3403" s="6" t="s">
        <v>8374</v>
      </c>
      <c r="E3403" s="6" t="s">
        <v>8918</v>
      </c>
      <c r="F3403" s="6" t="s">
        <v>8965</v>
      </c>
      <c r="G3403" s="6" t="s">
        <v>16</v>
      </c>
      <c r="H3403" s="5">
        <v>4</v>
      </c>
      <c r="I3403" s="6" t="s">
        <v>8966</v>
      </c>
      <c r="J3403" s="5">
        <v>1200</v>
      </c>
    </row>
    <row r="3404" s="2" customFormat="1" spans="1:10">
      <c r="A3404" s="6">
        <f>3402</f>
        <v>3402</v>
      </c>
      <c r="B3404" s="6" t="s">
        <v>8967</v>
      </c>
      <c r="C3404" s="6" t="s">
        <v>12</v>
      </c>
      <c r="D3404" s="6" t="s">
        <v>8374</v>
      </c>
      <c r="E3404" s="6" t="s">
        <v>8918</v>
      </c>
      <c r="F3404" s="6" t="s">
        <v>8968</v>
      </c>
      <c r="G3404" s="6" t="s">
        <v>16</v>
      </c>
      <c r="H3404" s="5">
        <v>1</v>
      </c>
      <c r="I3404" s="6" t="s">
        <v>8968</v>
      </c>
      <c r="J3404" s="5">
        <v>320</v>
      </c>
    </row>
    <row r="3405" s="2" customFormat="1" spans="1:10">
      <c r="A3405" s="6">
        <f>3403</f>
        <v>3403</v>
      </c>
      <c r="B3405" s="6" t="s">
        <v>8969</v>
      </c>
      <c r="C3405" s="6" t="s">
        <v>12</v>
      </c>
      <c r="D3405" s="6" t="s">
        <v>8374</v>
      </c>
      <c r="E3405" s="6" t="s">
        <v>8918</v>
      </c>
      <c r="F3405" s="6" t="s">
        <v>8970</v>
      </c>
      <c r="G3405" s="6" t="s">
        <v>16</v>
      </c>
      <c r="H3405" s="5">
        <v>1</v>
      </c>
      <c r="I3405" s="6" t="s">
        <v>8970</v>
      </c>
      <c r="J3405" s="5">
        <v>270</v>
      </c>
    </row>
    <row r="3406" s="2" customFormat="1" spans="1:10">
      <c r="A3406" s="6">
        <f>3404</f>
        <v>3404</v>
      </c>
      <c r="B3406" s="6" t="s">
        <v>8971</v>
      </c>
      <c r="C3406" s="6" t="s">
        <v>12</v>
      </c>
      <c r="D3406" s="6" t="s">
        <v>8374</v>
      </c>
      <c r="E3406" s="6" t="s">
        <v>8918</v>
      </c>
      <c r="F3406" s="6" t="s">
        <v>8972</v>
      </c>
      <c r="G3406" s="6" t="s">
        <v>16</v>
      </c>
      <c r="H3406" s="5">
        <v>3</v>
      </c>
      <c r="I3406" s="6" t="s">
        <v>8973</v>
      </c>
      <c r="J3406" s="5">
        <v>1092</v>
      </c>
    </row>
    <row r="3407" s="2" customFormat="1" spans="1:10">
      <c r="A3407" s="6">
        <f>3405</f>
        <v>3405</v>
      </c>
      <c r="B3407" s="6" t="s">
        <v>8974</v>
      </c>
      <c r="C3407" s="6" t="s">
        <v>12</v>
      </c>
      <c r="D3407" s="6" t="s">
        <v>8374</v>
      </c>
      <c r="E3407" s="6" t="s">
        <v>8918</v>
      </c>
      <c r="F3407" s="6" t="s">
        <v>8975</v>
      </c>
      <c r="G3407" s="6" t="s">
        <v>16</v>
      </c>
      <c r="H3407" s="5">
        <v>3</v>
      </c>
      <c r="I3407" s="6" t="s">
        <v>8976</v>
      </c>
      <c r="J3407" s="5">
        <v>615</v>
      </c>
    </row>
    <row r="3408" s="2" customFormat="1" spans="1:10">
      <c r="A3408" s="6">
        <f>3406</f>
        <v>3406</v>
      </c>
      <c r="B3408" s="6" t="s">
        <v>8977</v>
      </c>
      <c r="C3408" s="6" t="s">
        <v>12</v>
      </c>
      <c r="D3408" s="6" t="s">
        <v>8374</v>
      </c>
      <c r="E3408" s="6" t="s">
        <v>8918</v>
      </c>
      <c r="F3408" s="6" t="s">
        <v>8978</v>
      </c>
      <c r="G3408" s="6" t="s">
        <v>16</v>
      </c>
      <c r="H3408" s="5">
        <v>1</v>
      </c>
      <c r="I3408" s="6" t="s">
        <v>8978</v>
      </c>
      <c r="J3408" s="5">
        <v>440</v>
      </c>
    </row>
    <row r="3409" s="2" customFormat="1" spans="1:10">
      <c r="A3409" s="6">
        <f>3407</f>
        <v>3407</v>
      </c>
      <c r="B3409" s="6" t="s">
        <v>8979</v>
      </c>
      <c r="C3409" s="6" t="s">
        <v>12</v>
      </c>
      <c r="D3409" s="6" t="s">
        <v>8374</v>
      </c>
      <c r="E3409" s="6" t="s">
        <v>8918</v>
      </c>
      <c r="F3409" s="6" t="s">
        <v>8980</v>
      </c>
      <c r="G3409" s="6" t="s">
        <v>16</v>
      </c>
      <c r="H3409" s="5">
        <v>1</v>
      </c>
      <c r="I3409" s="6" t="s">
        <v>8980</v>
      </c>
      <c r="J3409" s="5">
        <v>243</v>
      </c>
    </row>
    <row r="3410" s="2" customFormat="1" spans="1:10">
      <c r="A3410" s="6">
        <f>3408</f>
        <v>3408</v>
      </c>
      <c r="B3410" s="6" t="s">
        <v>8981</v>
      </c>
      <c r="C3410" s="6" t="s">
        <v>12</v>
      </c>
      <c r="D3410" s="6" t="s">
        <v>8374</v>
      </c>
      <c r="E3410" s="6" t="s">
        <v>8918</v>
      </c>
      <c r="F3410" s="6" t="s">
        <v>8982</v>
      </c>
      <c r="G3410" s="6" t="s">
        <v>16</v>
      </c>
      <c r="H3410" s="5">
        <v>1</v>
      </c>
      <c r="I3410" s="6" t="s">
        <v>8982</v>
      </c>
      <c r="J3410" s="5">
        <v>365</v>
      </c>
    </row>
    <row r="3411" s="2" customFormat="1" spans="1:10">
      <c r="A3411" s="6">
        <f>3409</f>
        <v>3409</v>
      </c>
      <c r="B3411" s="6" t="s">
        <v>8983</v>
      </c>
      <c r="C3411" s="6" t="s">
        <v>12</v>
      </c>
      <c r="D3411" s="6" t="s">
        <v>8374</v>
      </c>
      <c r="E3411" s="6" t="s">
        <v>8918</v>
      </c>
      <c r="F3411" s="6" t="s">
        <v>8984</v>
      </c>
      <c r="G3411" s="6" t="s">
        <v>16</v>
      </c>
      <c r="H3411" s="5">
        <v>3</v>
      </c>
      <c r="I3411" s="6" t="s">
        <v>8985</v>
      </c>
      <c r="J3411" s="5">
        <v>600</v>
      </c>
    </row>
    <row r="3412" s="2" customFormat="1" spans="1:10">
      <c r="A3412" s="6">
        <f>3410</f>
        <v>3410</v>
      </c>
      <c r="B3412" s="6" t="s">
        <v>8986</v>
      </c>
      <c r="C3412" s="6" t="s">
        <v>12</v>
      </c>
      <c r="D3412" s="6" t="s">
        <v>8374</v>
      </c>
      <c r="E3412" s="6" t="s">
        <v>8918</v>
      </c>
      <c r="F3412" s="6" t="s">
        <v>8987</v>
      </c>
      <c r="G3412" s="6" t="s">
        <v>16</v>
      </c>
      <c r="H3412" s="5">
        <v>1</v>
      </c>
      <c r="I3412" s="6" t="s">
        <v>8987</v>
      </c>
      <c r="J3412" s="5">
        <v>420</v>
      </c>
    </row>
    <row r="3413" s="2" customFormat="1" spans="1:10">
      <c r="A3413" s="6">
        <f>3411</f>
        <v>3411</v>
      </c>
      <c r="B3413" s="6" t="s">
        <v>8988</v>
      </c>
      <c r="C3413" s="6" t="s">
        <v>12</v>
      </c>
      <c r="D3413" s="6" t="s">
        <v>8374</v>
      </c>
      <c r="E3413" s="6" t="s">
        <v>8918</v>
      </c>
      <c r="F3413" s="6" t="s">
        <v>8989</v>
      </c>
      <c r="G3413" s="6" t="s">
        <v>16</v>
      </c>
      <c r="H3413" s="5">
        <v>2</v>
      </c>
      <c r="I3413" s="6" t="s">
        <v>8990</v>
      </c>
      <c r="J3413" s="5">
        <v>440</v>
      </c>
    </row>
    <row r="3414" s="2" customFormat="1" spans="1:10">
      <c r="A3414" s="6">
        <f>3412</f>
        <v>3412</v>
      </c>
      <c r="B3414" s="6" t="s">
        <v>8991</v>
      </c>
      <c r="C3414" s="6" t="s">
        <v>12</v>
      </c>
      <c r="D3414" s="6" t="s">
        <v>8374</v>
      </c>
      <c r="E3414" s="6" t="s">
        <v>8918</v>
      </c>
      <c r="F3414" s="6" t="s">
        <v>8992</v>
      </c>
      <c r="G3414" s="6" t="s">
        <v>16</v>
      </c>
      <c r="H3414" s="5">
        <v>2</v>
      </c>
      <c r="I3414" s="6" t="s">
        <v>8993</v>
      </c>
      <c r="J3414" s="5">
        <v>420</v>
      </c>
    </row>
    <row r="3415" s="2" customFormat="1" spans="1:10">
      <c r="A3415" s="6">
        <f>3413</f>
        <v>3413</v>
      </c>
      <c r="B3415" s="6" t="s">
        <v>8994</v>
      </c>
      <c r="C3415" s="6" t="s">
        <v>12</v>
      </c>
      <c r="D3415" s="6" t="s">
        <v>8374</v>
      </c>
      <c r="E3415" s="6" t="s">
        <v>8918</v>
      </c>
      <c r="F3415" s="6" t="s">
        <v>8995</v>
      </c>
      <c r="G3415" s="6" t="s">
        <v>16</v>
      </c>
      <c r="H3415" s="5">
        <v>2</v>
      </c>
      <c r="I3415" s="6" t="s">
        <v>8996</v>
      </c>
      <c r="J3415" s="5">
        <v>514</v>
      </c>
    </row>
    <row r="3416" s="2" customFormat="1" spans="1:10">
      <c r="A3416" s="6">
        <f>3414</f>
        <v>3414</v>
      </c>
      <c r="B3416" s="6" t="s">
        <v>8997</v>
      </c>
      <c r="C3416" s="6" t="s">
        <v>12</v>
      </c>
      <c r="D3416" s="6" t="s">
        <v>8374</v>
      </c>
      <c r="E3416" s="6" t="s">
        <v>8918</v>
      </c>
      <c r="F3416" s="6" t="s">
        <v>8998</v>
      </c>
      <c r="G3416" s="6" t="s">
        <v>16</v>
      </c>
      <c r="H3416" s="5">
        <v>1</v>
      </c>
      <c r="I3416" s="6" t="s">
        <v>8998</v>
      </c>
      <c r="J3416" s="5">
        <v>320</v>
      </c>
    </row>
    <row r="3417" s="2" customFormat="1" spans="1:10">
      <c r="A3417" s="6">
        <f>3415</f>
        <v>3415</v>
      </c>
      <c r="B3417" s="6" t="s">
        <v>8999</v>
      </c>
      <c r="C3417" s="6" t="s">
        <v>12</v>
      </c>
      <c r="D3417" s="6" t="s">
        <v>8374</v>
      </c>
      <c r="E3417" s="6" t="s">
        <v>8918</v>
      </c>
      <c r="F3417" s="6" t="s">
        <v>9000</v>
      </c>
      <c r="G3417" s="6" t="s">
        <v>16</v>
      </c>
      <c r="H3417" s="5">
        <v>2</v>
      </c>
      <c r="I3417" s="6" t="s">
        <v>9001</v>
      </c>
      <c r="J3417" s="5">
        <v>520</v>
      </c>
    </row>
    <row r="3418" s="2" customFormat="1" spans="1:10">
      <c r="A3418" s="6">
        <f>3416</f>
        <v>3416</v>
      </c>
      <c r="B3418" s="6" t="s">
        <v>9002</v>
      </c>
      <c r="C3418" s="6" t="s">
        <v>12</v>
      </c>
      <c r="D3418" s="6" t="s">
        <v>8374</v>
      </c>
      <c r="E3418" s="6" t="s">
        <v>8918</v>
      </c>
      <c r="F3418" s="6" t="s">
        <v>9003</v>
      </c>
      <c r="G3418" s="6" t="s">
        <v>16</v>
      </c>
      <c r="H3418" s="5">
        <v>1</v>
      </c>
      <c r="I3418" s="6" t="s">
        <v>9003</v>
      </c>
      <c r="J3418" s="5">
        <v>485</v>
      </c>
    </row>
    <row r="3419" s="2" customFormat="1" spans="1:10">
      <c r="A3419" s="6">
        <f>3417</f>
        <v>3417</v>
      </c>
      <c r="B3419" s="6" t="s">
        <v>9004</v>
      </c>
      <c r="C3419" s="6" t="s">
        <v>12</v>
      </c>
      <c r="D3419" s="6" t="s">
        <v>8374</v>
      </c>
      <c r="E3419" s="6" t="s">
        <v>8918</v>
      </c>
      <c r="F3419" s="6" t="s">
        <v>9005</v>
      </c>
      <c r="G3419" s="6" t="s">
        <v>16</v>
      </c>
      <c r="H3419" s="5">
        <v>1</v>
      </c>
      <c r="I3419" s="6" t="s">
        <v>9005</v>
      </c>
      <c r="J3419" s="5">
        <v>295</v>
      </c>
    </row>
    <row r="3420" s="2" customFormat="1" spans="1:10">
      <c r="A3420" s="6">
        <f>3418</f>
        <v>3418</v>
      </c>
      <c r="B3420" s="6" t="s">
        <v>9006</v>
      </c>
      <c r="C3420" s="6" t="s">
        <v>12</v>
      </c>
      <c r="D3420" s="6" t="s">
        <v>8374</v>
      </c>
      <c r="E3420" s="6" t="s">
        <v>8918</v>
      </c>
      <c r="F3420" s="6" t="s">
        <v>9007</v>
      </c>
      <c r="G3420" s="6" t="s">
        <v>16</v>
      </c>
      <c r="H3420" s="5">
        <v>2</v>
      </c>
      <c r="I3420" s="6" t="s">
        <v>9008</v>
      </c>
      <c r="J3420" s="5">
        <v>340</v>
      </c>
    </row>
    <row r="3421" s="2" customFormat="1" spans="1:10">
      <c r="A3421" s="6">
        <f>3419</f>
        <v>3419</v>
      </c>
      <c r="B3421" s="6" t="s">
        <v>9009</v>
      </c>
      <c r="C3421" s="6" t="s">
        <v>12</v>
      </c>
      <c r="D3421" s="6" t="s">
        <v>8374</v>
      </c>
      <c r="E3421" s="6" t="s">
        <v>8918</v>
      </c>
      <c r="F3421" s="6" t="s">
        <v>9010</v>
      </c>
      <c r="G3421" s="6" t="s">
        <v>16</v>
      </c>
      <c r="H3421" s="5">
        <v>2</v>
      </c>
      <c r="I3421" s="6" t="s">
        <v>9011</v>
      </c>
      <c r="J3421" s="5">
        <v>330</v>
      </c>
    </row>
    <row r="3422" s="2" customFormat="1" spans="1:10">
      <c r="A3422" s="6">
        <f>3420</f>
        <v>3420</v>
      </c>
      <c r="B3422" s="6" t="s">
        <v>9012</v>
      </c>
      <c r="C3422" s="6" t="s">
        <v>12</v>
      </c>
      <c r="D3422" s="6" t="s">
        <v>8374</v>
      </c>
      <c r="E3422" s="6" t="s">
        <v>8918</v>
      </c>
      <c r="F3422" s="6" t="s">
        <v>9013</v>
      </c>
      <c r="G3422" s="6" t="s">
        <v>16</v>
      </c>
      <c r="H3422" s="5">
        <v>1</v>
      </c>
      <c r="I3422" s="6" t="s">
        <v>9013</v>
      </c>
      <c r="J3422" s="5">
        <v>270</v>
      </c>
    </row>
    <row r="3423" s="2" customFormat="1" spans="1:10">
      <c r="A3423" s="6">
        <f>3421</f>
        <v>3421</v>
      </c>
      <c r="B3423" s="6" t="s">
        <v>9014</v>
      </c>
      <c r="C3423" s="6" t="s">
        <v>12</v>
      </c>
      <c r="D3423" s="6" t="s">
        <v>8374</v>
      </c>
      <c r="E3423" s="6" t="s">
        <v>8918</v>
      </c>
      <c r="F3423" s="6" t="s">
        <v>9015</v>
      </c>
      <c r="G3423" s="6" t="s">
        <v>16</v>
      </c>
      <c r="H3423" s="5">
        <v>3</v>
      </c>
      <c r="I3423" s="6" t="s">
        <v>9016</v>
      </c>
      <c r="J3423" s="5">
        <v>980</v>
      </c>
    </row>
    <row r="3424" s="2" customFormat="1" spans="1:10">
      <c r="A3424" s="6">
        <f>3422</f>
        <v>3422</v>
      </c>
      <c r="B3424" s="6" t="s">
        <v>9017</v>
      </c>
      <c r="C3424" s="6" t="s">
        <v>12</v>
      </c>
      <c r="D3424" s="6" t="s">
        <v>8374</v>
      </c>
      <c r="E3424" s="6" t="s">
        <v>8918</v>
      </c>
      <c r="F3424" s="6" t="s">
        <v>9018</v>
      </c>
      <c r="G3424" s="6" t="s">
        <v>16</v>
      </c>
      <c r="H3424" s="5">
        <v>1</v>
      </c>
      <c r="I3424" s="6" t="s">
        <v>9018</v>
      </c>
      <c r="J3424" s="5">
        <v>415</v>
      </c>
    </row>
    <row r="3425" s="2" customFormat="1" spans="1:10">
      <c r="A3425" s="6">
        <f>3423</f>
        <v>3423</v>
      </c>
      <c r="B3425" s="6" t="s">
        <v>9019</v>
      </c>
      <c r="C3425" s="6" t="s">
        <v>12</v>
      </c>
      <c r="D3425" s="6" t="s">
        <v>8374</v>
      </c>
      <c r="E3425" s="6" t="s">
        <v>8918</v>
      </c>
      <c r="F3425" s="6" t="s">
        <v>9020</v>
      </c>
      <c r="G3425" s="6" t="s">
        <v>16</v>
      </c>
      <c r="H3425" s="5">
        <v>1</v>
      </c>
      <c r="I3425" s="6" t="s">
        <v>9020</v>
      </c>
      <c r="J3425" s="5">
        <v>243</v>
      </c>
    </row>
    <row r="3426" s="2" customFormat="1" spans="1:10">
      <c r="A3426" s="6">
        <f>3424</f>
        <v>3424</v>
      </c>
      <c r="B3426" s="6" t="s">
        <v>9021</v>
      </c>
      <c r="C3426" s="6" t="s">
        <v>12</v>
      </c>
      <c r="D3426" s="6" t="s">
        <v>8374</v>
      </c>
      <c r="E3426" s="6" t="s">
        <v>8918</v>
      </c>
      <c r="F3426" s="6" t="s">
        <v>9022</v>
      </c>
      <c r="G3426" s="6" t="s">
        <v>16</v>
      </c>
      <c r="H3426" s="5">
        <v>1</v>
      </c>
      <c r="I3426" s="6" t="s">
        <v>9022</v>
      </c>
      <c r="J3426" s="5">
        <v>243</v>
      </c>
    </row>
    <row r="3427" s="2" customFormat="1" spans="1:10">
      <c r="A3427" s="6">
        <f>3425</f>
        <v>3425</v>
      </c>
      <c r="B3427" s="6" t="s">
        <v>9023</v>
      </c>
      <c r="C3427" s="6" t="s">
        <v>12</v>
      </c>
      <c r="D3427" s="6" t="s">
        <v>8374</v>
      </c>
      <c r="E3427" s="6" t="s">
        <v>8918</v>
      </c>
      <c r="F3427" s="6" t="s">
        <v>9024</v>
      </c>
      <c r="G3427" s="6" t="s">
        <v>16</v>
      </c>
      <c r="H3427" s="5">
        <v>2</v>
      </c>
      <c r="I3427" s="6" t="s">
        <v>9025</v>
      </c>
      <c r="J3427" s="5">
        <v>540</v>
      </c>
    </row>
    <row r="3428" s="2" customFormat="1" spans="1:10">
      <c r="A3428" s="6">
        <f>3426</f>
        <v>3426</v>
      </c>
      <c r="B3428" s="6" t="s">
        <v>9026</v>
      </c>
      <c r="C3428" s="6" t="s">
        <v>12</v>
      </c>
      <c r="D3428" s="6" t="s">
        <v>8374</v>
      </c>
      <c r="E3428" s="6" t="s">
        <v>8918</v>
      </c>
      <c r="F3428" s="6" t="s">
        <v>9027</v>
      </c>
      <c r="G3428" s="6" t="s">
        <v>16</v>
      </c>
      <c r="H3428" s="5">
        <v>1</v>
      </c>
      <c r="I3428" s="6" t="s">
        <v>9027</v>
      </c>
      <c r="J3428" s="5">
        <v>243</v>
      </c>
    </row>
    <row r="3429" s="2" customFormat="1" spans="1:10">
      <c r="A3429" s="6">
        <f>3427</f>
        <v>3427</v>
      </c>
      <c r="B3429" s="6" t="s">
        <v>9028</v>
      </c>
      <c r="C3429" s="6" t="s">
        <v>12</v>
      </c>
      <c r="D3429" s="6" t="s">
        <v>8374</v>
      </c>
      <c r="E3429" s="6" t="s">
        <v>8918</v>
      </c>
      <c r="F3429" s="6" t="s">
        <v>9029</v>
      </c>
      <c r="G3429" s="6" t="s">
        <v>16</v>
      </c>
      <c r="H3429" s="5">
        <v>1</v>
      </c>
      <c r="I3429" s="6" t="s">
        <v>9029</v>
      </c>
      <c r="J3429" s="5">
        <v>243</v>
      </c>
    </row>
    <row r="3430" s="2" customFormat="1" spans="1:10">
      <c r="A3430" s="6">
        <f>3428</f>
        <v>3428</v>
      </c>
      <c r="B3430" s="6" t="s">
        <v>9030</v>
      </c>
      <c r="C3430" s="6" t="s">
        <v>12</v>
      </c>
      <c r="D3430" s="6" t="s">
        <v>8374</v>
      </c>
      <c r="E3430" s="6" t="s">
        <v>8918</v>
      </c>
      <c r="F3430" s="6" t="s">
        <v>9031</v>
      </c>
      <c r="G3430" s="6" t="s">
        <v>16</v>
      </c>
      <c r="H3430" s="5">
        <v>3</v>
      </c>
      <c r="I3430" s="6" t="s">
        <v>9032</v>
      </c>
      <c r="J3430" s="5">
        <v>600</v>
      </c>
    </row>
    <row r="3431" s="2" customFormat="1" spans="1:10">
      <c r="A3431" s="6">
        <f>3429</f>
        <v>3429</v>
      </c>
      <c r="B3431" s="6" t="s">
        <v>9033</v>
      </c>
      <c r="C3431" s="6" t="s">
        <v>12</v>
      </c>
      <c r="D3431" s="6" t="s">
        <v>8374</v>
      </c>
      <c r="E3431" s="6" t="s">
        <v>8918</v>
      </c>
      <c r="F3431" s="6" t="s">
        <v>9034</v>
      </c>
      <c r="G3431" s="6" t="s">
        <v>16</v>
      </c>
      <c r="H3431" s="5">
        <v>1</v>
      </c>
      <c r="I3431" s="6" t="s">
        <v>9034</v>
      </c>
      <c r="J3431" s="5">
        <v>460</v>
      </c>
    </row>
    <row r="3432" s="2" customFormat="1" spans="1:10">
      <c r="A3432" s="6">
        <f>3430</f>
        <v>3430</v>
      </c>
      <c r="B3432" s="6" t="s">
        <v>9035</v>
      </c>
      <c r="C3432" s="6" t="s">
        <v>12</v>
      </c>
      <c r="D3432" s="6" t="s">
        <v>8374</v>
      </c>
      <c r="E3432" s="6" t="s">
        <v>8918</v>
      </c>
      <c r="F3432" s="6" t="s">
        <v>9036</v>
      </c>
      <c r="G3432" s="6" t="s">
        <v>16</v>
      </c>
      <c r="H3432" s="5">
        <v>1</v>
      </c>
      <c r="I3432" s="6" t="s">
        <v>9036</v>
      </c>
      <c r="J3432" s="5">
        <v>243</v>
      </c>
    </row>
    <row r="3433" s="2" customFormat="1" spans="1:10">
      <c r="A3433" s="6">
        <f>3431</f>
        <v>3431</v>
      </c>
      <c r="B3433" s="6" t="s">
        <v>9037</v>
      </c>
      <c r="C3433" s="6" t="s">
        <v>12</v>
      </c>
      <c r="D3433" s="6" t="s">
        <v>8374</v>
      </c>
      <c r="E3433" s="6" t="s">
        <v>8918</v>
      </c>
      <c r="F3433" s="6" t="s">
        <v>9038</v>
      </c>
      <c r="G3433" s="6" t="s">
        <v>16</v>
      </c>
      <c r="H3433" s="5">
        <v>1</v>
      </c>
      <c r="I3433" s="6" t="s">
        <v>9038</v>
      </c>
      <c r="J3433" s="5">
        <v>243</v>
      </c>
    </row>
    <row r="3434" s="2" customFormat="1" ht="27" spans="1:10">
      <c r="A3434" s="6">
        <f>3432</f>
        <v>3432</v>
      </c>
      <c r="B3434" s="6" t="s">
        <v>9039</v>
      </c>
      <c r="C3434" s="6" t="s">
        <v>12</v>
      </c>
      <c r="D3434" s="6" t="s">
        <v>8374</v>
      </c>
      <c r="E3434" s="6" t="s">
        <v>8918</v>
      </c>
      <c r="F3434" s="6" t="s">
        <v>9040</v>
      </c>
      <c r="G3434" s="6" t="s">
        <v>16</v>
      </c>
      <c r="H3434" s="5">
        <v>4</v>
      </c>
      <c r="I3434" s="6" t="s">
        <v>9041</v>
      </c>
      <c r="J3434" s="5">
        <v>680</v>
      </c>
    </row>
    <row r="3435" s="2" customFormat="1" spans="1:10">
      <c r="A3435" s="6">
        <f>3433</f>
        <v>3433</v>
      </c>
      <c r="B3435" s="6" t="s">
        <v>9042</v>
      </c>
      <c r="C3435" s="6" t="s">
        <v>12</v>
      </c>
      <c r="D3435" s="6" t="s">
        <v>8374</v>
      </c>
      <c r="E3435" s="6" t="s">
        <v>8918</v>
      </c>
      <c r="F3435" s="6" t="s">
        <v>9043</v>
      </c>
      <c r="G3435" s="6" t="s">
        <v>16</v>
      </c>
      <c r="H3435" s="5">
        <v>1</v>
      </c>
      <c r="I3435" s="6" t="s">
        <v>9043</v>
      </c>
      <c r="J3435" s="5">
        <v>345</v>
      </c>
    </row>
    <row r="3436" s="2" customFormat="1" spans="1:10">
      <c r="A3436" s="6">
        <f>3434</f>
        <v>3434</v>
      </c>
      <c r="B3436" s="6" t="s">
        <v>9044</v>
      </c>
      <c r="C3436" s="6" t="s">
        <v>12</v>
      </c>
      <c r="D3436" s="6" t="s">
        <v>8374</v>
      </c>
      <c r="E3436" s="6" t="s">
        <v>8918</v>
      </c>
      <c r="F3436" s="6" t="s">
        <v>9045</v>
      </c>
      <c r="G3436" s="6" t="s">
        <v>16</v>
      </c>
      <c r="H3436" s="5">
        <v>1</v>
      </c>
      <c r="I3436" s="6" t="s">
        <v>9045</v>
      </c>
      <c r="J3436" s="5">
        <v>345</v>
      </c>
    </row>
    <row r="3437" s="2" customFormat="1" spans="1:10">
      <c r="A3437" s="6">
        <f>3435</f>
        <v>3435</v>
      </c>
      <c r="B3437" s="6" t="s">
        <v>9046</v>
      </c>
      <c r="C3437" s="6" t="s">
        <v>12</v>
      </c>
      <c r="D3437" s="6" t="s">
        <v>8374</v>
      </c>
      <c r="E3437" s="6" t="s">
        <v>8918</v>
      </c>
      <c r="F3437" s="6" t="s">
        <v>9047</v>
      </c>
      <c r="G3437" s="6" t="s">
        <v>16</v>
      </c>
      <c r="H3437" s="5">
        <v>1</v>
      </c>
      <c r="I3437" s="6" t="s">
        <v>9047</v>
      </c>
      <c r="J3437" s="5">
        <v>248</v>
      </c>
    </row>
    <row r="3438" s="2" customFormat="1" spans="1:10">
      <c r="A3438" s="6">
        <f>3436</f>
        <v>3436</v>
      </c>
      <c r="B3438" s="6" t="s">
        <v>9048</v>
      </c>
      <c r="C3438" s="6" t="s">
        <v>12</v>
      </c>
      <c r="D3438" s="6" t="s">
        <v>8374</v>
      </c>
      <c r="E3438" s="6" t="s">
        <v>8918</v>
      </c>
      <c r="F3438" s="6" t="s">
        <v>9049</v>
      </c>
      <c r="G3438" s="6" t="s">
        <v>16</v>
      </c>
      <c r="H3438" s="5">
        <v>3</v>
      </c>
      <c r="I3438" s="6" t="s">
        <v>9050</v>
      </c>
      <c r="J3438" s="5">
        <v>574</v>
      </c>
    </row>
    <row r="3439" s="2" customFormat="1" spans="1:10">
      <c r="A3439" s="6">
        <f>3437</f>
        <v>3437</v>
      </c>
      <c r="B3439" s="6" t="s">
        <v>9051</v>
      </c>
      <c r="C3439" s="6" t="s">
        <v>12</v>
      </c>
      <c r="D3439" s="6" t="s">
        <v>8374</v>
      </c>
      <c r="E3439" s="6" t="s">
        <v>8918</v>
      </c>
      <c r="F3439" s="6" t="s">
        <v>9052</v>
      </c>
      <c r="G3439" s="6" t="s">
        <v>16</v>
      </c>
      <c r="H3439" s="5">
        <v>1</v>
      </c>
      <c r="I3439" s="6" t="s">
        <v>9052</v>
      </c>
      <c r="J3439" s="5">
        <v>290</v>
      </c>
    </row>
    <row r="3440" s="2" customFormat="1" spans="1:10">
      <c r="A3440" s="6">
        <f>3438</f>
        <v>3438</v>
      </c>
      <c r="B3440" s="6" t="s">
        <v>9053</v>
      </c>
      <c r="C3440" s="6" t="s">
        <v>12</v>
      </c>
      <c r="D3440" s="6" t="s">
        <v>8374</v>
      </c>
      <c r="E3440" s="6" t="s">
        <v>8918</v>
      </c>
      <c r="F3440" s="6" t="s">
        <v>9054</v>
      </c>
      <c r="G3440" s="6" t="s">
        <v>16</v>
      </c>
      <c r="H3440" s="5">
        <v>2</v>
      </c>
      <c r="I3440" s="6" t="s">
        <v>9055</v>
      </c>
      <c r="J3440" s="5">
        <v>800</v>
      </c>
    </row>
    <row r="3441" s="2" customFormat="1" spans="1:10">
      <c r="A3441" s="6">
        <f>3439</f>
        <v>3439</v>
      </c>
      <c r="B3441" s="6" t="s">
        <v>9056</v>
      </c>
      <c r="C3441" s="6" t="s">
        <v>12</v>
      </c>
      <c r="D3441" s="6" t="s">
        <v>8374</v>
      </c>
      <c r="E3441" s="6" t="s">
        <v>8918</v>
      </c>
      <c r="F3441" s="6" t="s">
        <v>9057</v>
      </c>
      <c r="G3441" s="6" t="s">
        <v>16</v>
      </c>
      <c r="H3441" s="5">
        <v>3</v>
      </c>
      <c r="I3441" s="6" t="s">
        <v>9058</v>
      </c>
      <c r="J3441" s="5">
        <v>1080</v>
      </c>
    </row>
    <row r="3442" s="2" customFormat="1" spans="1:10">
      <c r="A3442" s="6">
        <f>3440</f>
        <v>3440</v>
      </c>
      <c r="B3442" s="6" t="s">
        <v>9059</v>
      </c>
      <c r="C3442" s="6" t="s">
        <v>12</v>
      </c>
      <c r="D3442" s="6" t="s">
        <v>8374</v>
      </c>
      <c r="E3442" s="6" t="s">
        <v>8918</v>
      </c>
      <c r="F3442" s="6" t="s">
        <v>9060</v>
      </c>
      <c r="G3442" s="6" t="s">
        <v>16</v>
      </c>
      <c r="H3442" s="5">
        <v>2</v>
      </c>
      <c r="I3442" s="6" t="s">
        <v>9061</v>
      </c>
      <c r="J3442" s="5">
        <v>840</v>
      </c>
    </row>
    <row r="3443" s="2" customFormat="1" spans="1:10">
      <c r="A3443" s="6">
        <f>3441</f>
        <v>3441</v>
      </c>
      <c r="B3443" s="6" t="s">
        <v>9062</v>
      </c>
      <c r="C3443" s="6" t="s">
        <v>12</v>
      </c>
      <c r="D3443" s="6" t="s">
        <v>8374</v>
      </c>
      <c r="E3443" s="6" t="s">
        <v>8918</v>
      </c>
      <c r="F3443" s="6" t="s">
        <v>9063</v>
      </c>
      <c r="G3443" s="6" t="s">
        <v>16</v>
      </c>
      <c r="H3443" s="5">
        <v>1</v>
      </c>
      <c r="I3443" s="6" t="s">
        <v>9063</v>
      </c>
      <c r="J3443" s="5">
        <v>243</v>
      </c>
    </row>
    <row r="3444" s="2" customFormat="1" spans="1:10">
      <c r="A3444" s="6">
        <f>3442</f>
        <v>3442</v>
      </c>
      <c r="B3444" s="6" t="s">
        <v>9064</v>
      </c>
      <c r="C3444" s="6" t="s">
        <v>12</v>
      </c>
      <c r="D3444" s="6" t="s">
        <v>8374</v>
      </c>
      <c r="E3444" s="6" t="s">
        <v>8918</v>
      </c>
      <c r="F3444" s="6" t="s">
        <v>9065</v>
      </c>
      <c r="G3444" s="6" t="s">
        <v>16</v>
      </c>
      <c r="H3444" s="5">
        <v>1</v>
      </c>
      <c r="I3444" s="6" t="s">
        <v>9065</v>
      </c>
      <c r="J3444" s="5">
        <v>270</v>
      </c>
    </row>
    <row r="3445" s="2" customFormat="1" spans="1:10">
      <c r="A3445" s="6">
        <f>3443</f>
        <v>3443</v>
      </c>
      <c r="B3445" s="6" t="s">
        <v>9066</v>
      </c>
      <c r="C3445" s="6" t="s">
        <v>12</v>
      </c>
      <c r="D3445" s="6" t="s">
        <v>8374</v>
      </c>
      <c r="E3445" s="6" t="s">
        <v>8918</v>
      </c>
      <c r="F3445" s="6" t="s">
        <v>9067</v>
      </c>
      <c r="G3445" s="6" t="s">
        <v>16</v>
      </c>
      <c r="H3445" s="5">
        <v>2</v>
      </c>
      <c r="I3445" s="6" t="s">
        <v>9068</v>
      </c>
      <c r="J3445" s="5">
        <v>335</v>
      </c>
    </row>
    <row r="3446" s="2" customFormat="1" spans="1:10">
      <c r="A3446" s="6">
        <f>3444</f>
        <v>3444</v>
      </c>
      <c r="B3446" s="6" t="s">
        <v>9069</v>
      </c>
      <c r="C3446" s="6" t="s">
        <v>12</v>
      </c>
      <c r="D3446" s="6" t="s">
        <v>8374</v>
      </c>
      <c r="E3446" s="6" t="s">
        <v>8918</v>
      </c>
      <c r="F3446" s="6" t="s">
        <v>9070</v>
      </c>
      <c r="G3446" s="6" t="s">
        <v>16</v>
      </c>
      <c r="H3446" s="5">
        <v>1</v>
      </c>
      <c r="I3446" s="6" t="s">
        <v>9070</v>
      </c>
      <c r="J3446" s="5">
        <v>243</v>
      </c>
    </row>
    <row r="3447" s="2" customFormat="1" spans="1:10">
      <c r="A3447" s="6">
        <f>3445</f>
        <v>3445</v>
      </c>
      <c r="B3447" s="6" t="s">
        <v>9071</v>
      </c>
      <c r="C3447" s="6" t="s">
        <v>12</v>
      </c>
      <c r="D3447" s="6" t="s">
        <v>8374</v>
      </c>
      <c r="E3447" s="6" t="s">
        <v>8918</v>
      </c>
      <c r="F3447" s="6" t="s">
        <v>9072</v>
      </c>
      <c r="G3447" s="6" t="s">
        <v>16</v>
      </c>
      <c r="H3447" s="5">
        <v>2</v>
      </c>
      <c r="I3447" s="6" t="s">
        <v>9073</v>
      </c>
      <c r="J3447" s="5">
        <v>520</v>
      </c>
    </row>
    <row r="3448" s="2" customFormat="1" spans="1:10">
      <c r="A3448" s="6">
        <f>3446</f>
        <v>3446</v>
      </c>
      <c r="B3448" s="6" t="s">
        <v>9074</v>
      </c>
      <c r="C3448" s="6" t="s">
        <v>12</v>
      </c>
      <c r="D3448" s="6" t="s">
        <v>8374</v>
      </c>
      <c r="E3448" s="6" t="s">
        <v>8918</v>
      </c>
      <c r="F3448" s="6" t="s">
        <v>9075</v>
      </c>
      <c r="G3448" s="6" t="s">
        <v>16</v>
      </c>
      <c r="H3448" s="5">
        <v>1</v>
      </c>
      <c r="I3448" s="6" t="s">
        <v>9075</v>
      </c>
      <c r="J3448" s="5">
        <v>305</v>
      </c>
    </row>
    <row r="3449" s="2" customFormat="1" ht="27" spans="1:10">
      <c r="A3449" s="6">
        <f>3447</f>
        <v>3447</v>
      </c>
      <c r="B3449" s="6" t="s">
        <v>9076</v>
      </c>
      <c r="C3449" s="6" t="s">
        <v>12</v>
      </c>
      <c r="D3449" s="6" t="s">
        <v>8374</v>
      </c>
      <c r="E3449" s="6" t="s">
        <v>8918</v>
      </c>
      <c r="F3449" s="6" t="s">
        <v>9077</v>
      </c>
      <c r="G3449" s="6" t="s">
        <v>16</v>
      </c>
      <c r="H3449" s="5">
        <v>4</v>
      </c>
      <c r="I3449" s="6" t="s">
        <v>9078</v>
      </c>
      <c r="J3449" s="5">
        <v>680</v>
      </c>
    </row>
    <row r="3450" s="2" customFormat="1" spans="1:10">
      <c r="A3450" s="6">
        <f>3448</f>
        <v>3448</v>
      </c>
      <c r="B3450" s="6" t="s">
        <v>9079</v>
      </c>
      <c r="C3450" s="6" t="s">
        <v>12</v>
      </c>
      <c r="D3450" s="6" t="s">
        <v>8374</v>
      </c>
      <c r="E3450" s="6" t="s">
        <v>8918</v>
      </c>
      <c r="F3450" s="6" t="s">
        <v>9080</v>
      </c>
      <c r="G3450" s="6" t="s">
        <v>16</v>
      </c>
      <c r="H3450" s="5">
        <v>1</v>
      </c>
      <c r="I3450" s="6" t="s">
        <v>9080</v>
      </c>
      <c r="J3450" s="5">
        <v>270</v>
      </c>
    </row>
    <row r="3451" s="2" customFormat="1" spans="1:10">
      <c r="A3451" s="6">
        <f>3449</f>
        <v>3449</v>
      </c>
      <c r="B3451" s="6" t="s">
        <v>9081</v>
      </c>
      <c r="C3451" s="6" t="s">
        <v>12</v>
      </c>
      <c r="D3451" s="6" t="s">
        <v>8374</v>
      </c>
      <c r="E3451" s="6" t="s">
        <v>8918</v>
      </c>
      <c r="F3451" s="6" t="s">
        <v>9082</v>
      </c>
      <c r="G3451" s="6" t="s">
        <v>16</v>
      </c>
      <c r="H3451" s="5">
        <v>2</v>
      </c>
      <c r="I3451" s="6" t="s">
        <v>9083</v>
      </c>
      <c r="J3451" s="5">
        <v>520</v>
      </c>
    </row>
    <row r="3452" s="2" customFormat="1" spans="1:10">
      <c r="A3452" s="6">
        <f>3450</f>
        <v>3450</v>
      </c>
      <c r="B3452" s="6" t="s">
        <v>9084</v>
      </c>
      <c r="C3452" s="6" t="s">
        <v>12</v>
      </c>
      <c r="D3452" s="6" t="s">
        <v>8374</v>
      </c>
      <c r="E3452" s="6" t="s">
        <v>8918</v>
      </c>
      <c r="F3452" s="6" t="s">
        <v>9085</v>
      </c>
      <c r="G3452" s="6" t="s">
        <v>16</v>
      </c>
      <c r="H3452" s="5">
        <v>2</v>
      </c>
      <c r="I3452" s="6" t="s">
        <v>9086</v>
      </c>
      <c r="J3452" s="5">
        <v>514</v>
      </c>
    </row>
    <row r="3453" s="2" customFormat="1" spans="1:10">
      <c r="A3453" s="6">
        <f>3451</f>
        <v>3451</v>
      </c>
      <c r="B3453" s="6" t="s">
        <v>9087</v>
      </c>
      <c r="C3453" s="6" t="s">
        <v>12</v>
      </c>
      <c r="D3453" s="6" t="s">
        <v>8374</v>
      </c>
      <c r="E3453" s="6" t="s">
        <v>8918</v>
      </c>
      <c r="F3453" s="6" t="s">
        <v>9088</v>
      </c>
      <c r="G3453" s="6" t="s">
        <v>16</v>
      </c>
      <c r="H3453" s="5">
        <v>2</v>
      </c>
      <c r="I3453" s="6" t="s">
        <v>9089</v>
      </c>
      <c r="J3453" s="5">
        <v>463</v>
      </c>
    </row>
    <row r="3454" s="2" customFormat="1" spans="1:10">
      <c r="A3454" s="6">
        <f>3452</f>
        <v>3452</v>
      </c>
      <c r="B3454" s="6" t="s">
        <v>9090</v>
      </c>
      <c r="C3454" s="6" t="s">
        <v>12</v>
      </c>
      <c r="D3454" s="6" t="s">
        <v>8374</v>
      </c>
      <c r="E3454" s="6" t="s">
        <v>8918</v>
      </c>
      <c r="F3454" s="6" t="s">
        <v>9091</v>
      </c>
      <c r="G3454" s="6" t="s">
        <v>16</v>
      </c>
      <c r="H3454" s="5">
        <v>1</v>
      </c>
      <c r="I3454" s="6" t="s">
        <v>9091</v>
      </c>
      <c r="J3454" s="5">
        <v>520</v>
      </c>
    </row>
    <row r="3455" s="2" customFormat="1" spans="1:10">
      <c r="A3455" s="6">
        <f>3453</f>
        <v>3453</v>
      </c>
      <c r="B3455" s="6" t="s">
        <v>9092</v>
      </c>
      <c r="C3455" s="6" t="s">
        <v>12</v>
      </c>
      <c r="D3455" s="6" t="s">
        <v>8374</v>
      </c>
      <c r="E3455" s="6" t="s">
        <v>8918</v>
      </c>
      <c r="F3455" s="6" t="s">
        <v>9093</v>
      </c>
      <c r="G3455" s="6" t="s">
        <v>16</v>
      </c>
      <c r="H3455" s="5">
        <v>1</v>
      </c>
      <c r="I3455" s="6" t="s">
        <v>9093</v>
      </c>
      <c r="J3455" s="5">
        <v>243</v>
      </c>
    </row>
    <row r="3456" s="2" customFormat="1" spans="1:10">
      <c r="A3456" s="6">
        <f>3454</f>
        <v>3454</v>
      </c>
      <c r="B3456" s="6" t="s">
        <v>9094</v>
      </c>
      <c r="C3456" s="6" t="s">
        <v>12</v>
      </c>
      <c r="D3456" s="6" t="s">
        <v>8374</v>
      </c>
      <c r="E3456" s="6" t="s">
        <v>8918</v>
      </c>
      <c r="F3456" s="6" t="s">
        <v>9095</v>
      </c>
      <c r="G3456" s="6" t="s">
        <v>16</v>
      </c>
      <c r="H3456" s="5">
        <v>1</v>
      </c>
      <c r="I3456" s="6" t="s">
        <v>9095</v>
      </c>
      <c r="J3456" s="5">
        <v>243</v>
      </c>
    </row>
    <row r="3457" s="2" customFormat="1" spans="1:10">
      <c r="A3457" s="6">
        <f>3455</f>
        <v>3455</v>
      </c>
      <c r="B3457" s="6" t="s">
        <v>9096</v>
      </c>
      <c r="C3457" s="6" t="s">
        <v>12</v>
      </c>
      <c r="D3457" s="6" t="s">
        <v>8374</v>
      </c>
      <c r="E3457" s="6" t="s">
        <v>8918</v>
      </c>
      <c r="F3457" s="6" t="s">
        <v>9097</v>
      </c>
      <c r="G3457" s="6" t="s">
        <v>16</v>
      </c>
      <c r="H3457" s="5">
        <v>1</v>
      </c>
      <c r="I3457" s="6" t="s">
        <v>9097</v>
      </c>
      <c r="J3457" s="5">
        <v>355</v>
      </c>
    </row>
    <row r="3458" s="2" customFormat="1" spans="1:10">
      <c r="A3458" s="6">
        <f>3456</f>
        <v>3456</v>
      </c>
      <c r="B3458" s="6" t="s">
        <v>9098</v>
      </c>
      <c r="C3458" s="6" t="s">
        <v>12</v>
      </c>
      <c r="D3458" s="6" t="s">
        <v>8374</v>
      </c>
      <c r="E3458" s="6" t="s">
        <v>8918</v>
      </c>
      <c r="F3458" s="6" t="s">
        <v>9099</v>
      </c>
      <c r="G3458" s="6" t="s">
        <v>16</v>
      </c>
      <c r="H3458" s="5">
        <v>1</v>
      </c>
      <c r="I3458" s="6" t="s">
        <v>9099</v>
      </c>
      <c r="J3458" s="5">
        <v>370</v>
      </c>
    </row>
    <row r="3459" s="2" customFormat="1" spans="1:10">
      <c r="A3459" s="6">
        <f>3457</f>
        <v>3457</v>
      </c>
      <c r="B3459" s="6" t="s">
        <v>9100</v>
      </c>
      <c r="C3459" s="6" t="s">
        <v>12</v>
      </c>
      <c r="D3459" s="6" t="s">
        <v>8374</v>
      </c>
      <c r="E3459" s="6" t="s">
        <v>8918</v>
      </c>
      <c r="F3459" s="6" t="s">
        <v>9101</v>
      </c>
      <c r="G3459" s="6" t="s">
        <v>16</v>
      </c>
      <c r="H3459" s="5">
        <v>3</v>
      </c>
      <c r="I3459" s="6" t="s">
        <v>9102</v>
      </c>
      <c r="J3459" s="5">
        <v>1080</v>
      </c>
    </row>
    <row r="3460" s="2" customFormat="1" spans="1:10">
      <c r="A3460" s="6">
        <f>3458</f>
        <v>3458</v>
      </c>
      <c r="B3460" s="6" t="s">
        <v>9103</v>
      </c>
      <c r="C3460" s="6" t="s">
        <v>12</v>
      </c>
      <c r="D3460" s="6" t="s">
        <v>8374</v>
      </c>
      <c r="E3460" s="6" t="s">
        <v>8918</v>
      </c>
      <c r="F3460" s="6" t="s">
        <v>9104</v>
      </c>
      <c r="G3460" s="6" t="s">
        <v>16</v>
      </c>
      <c r="H3460" s="5">
        <v>1</v>
      </c>
      <c r="I3460" s="6" t="s">
        <v>9104</v>
      </c>
      <c r="J3460" s="5">
        <v>375</v>
      </c>
    </row>
    <row r="3461" s="2" customFormat="1" spans="1:10">
      <c r="A3461" s="6">
        <f>3459</f>
        <v>3459</v>
      </c>
      <c r="B3461" s="6" t="s">
        <v>9105</v>
      </c>
      <c r="C3461" s="6" t="s">
        <v>12</v>
      </c>
      <c r="D3461" s="6" t="s">
        <v>8374</v>
      </c>
      <c r="E3461" s="6" t="s">
        <v>8918</v>
      </c>
      <c r="F3461" s="6" t="s">
        <v>9106</v>
      </c>
      <c r="G3461" s="6" t="s">
        <v>16</v>
      </c>
      <c r="H3461" s="5">
        <v>2</v>
      </c>
      <c r="I3461" s="6" t="s">
        <v>9107</v>
      </c>
      <c r="J3461" s="5">
        <v>360</v>
      </c>
    </row>
    <row r="3462" s="2" customFormat="1" spans="1:10">
      <c r="A3462" s="6">
        <f>3460</f>
        <v>3460</v>
      </c>
      <c r="B3462" s="6" t="s">
        <v>9108</v>
      </c>
      <c r="C3462" s="6" t="s">
        <v>12</v>
      </c>
      <c r="D3462" s="6" t="s">
        <v>8374</v>
      </c>
      <c r="E3462" s="6" t="s">
        <v>8918</v>
      </c>
      <c r="F3462" s="6" t="s">
        <v>9109</v>
      </c>
      <c r="G3462" s="6" t="s">
        <v>16</v>
      </c>
      <c r="H3462" s="5">
        <v>3</v>
      </c>
      <c r="I3462" s="6" t="s">
        <v>9110</v>
      </c>
      <c r="J3462" s="5">
        <v>620</v>
      </c>
    </row>
    <row r="3463" s="2" customFormat="1" spans="1:10">
      <c r="A3463" s="6">
        <f>3461</f>
        <v>3461</v>
      </c>
      <c r="B3463" s="6" t="s">
        <v>9111</v>
      </c>
      <c r="C3463" s="6" t="s">
        <v>12</v>
      </c>
      <c r="D3463" s="6" t="s">
        <v>8374</v>
      </c>
      <c r="E3463" s="6" t="s">
        <v>8918</v>
      </c>
      <c r="F3463" s="6" t="s">
        <v>9112</v>
      </c>
      <c r="G3463" s="6" t="s">
        <v>16</v>
      </c>
      <c r="H3463" s="5">
        <v>3</v>
      </c>
      <c r="I3463" s="6" t="s">
        <v>9113</v>
      </c>
      <c r="J3463" s="5">
        <v>674</v>
      </c>
    </row>
    <row r="3464" s="2" customFormat="1" spans="1:10">
      <c r="A3464" s="6">
        <f>3462</f>
        <v>3462</v>
      </c>
      <c r="B3464" s="6" t="s">
        <v>9114</v>
      </c>
      <c r="C3464" s="6" t="s">
        <v>12</v>
      </c>
      <c r="D3464" s="6" t="s">
        <v>8374</v>
      </c>
      <c r="E3464" s="6" t="s">
        <v>8918</v>
      </c>
      <c r="F3464" s="6" t="s">
        <v>9115</v>
      </c>
      <c r="G3464" s="6" t="s">
        <v>16</v>
      </c>
      <c r="H3464" s="5">
        <v>2</v>
      </c>
      <c r="I3464" s="6" t="s">
        <v>9116</v>
      </c>
      <c r="J3464" s="5">
        <v>630</v>
      </c>
    </row>
    <row r="3465" s="2" customFormat="1" spans="1:10">
      <c r="A3465" s="6">
        <f>3463</f>
        <v>3463</v>
      </c>
      <c r="B3465" s="6" t="s">
        <v>9117</v>
      </c>
      <c r="C3465" s="6" t="s">
        <v>12</v>
      </c>
      <c r="D3465" s="6" t="s">
        <v>8374</v>
      </c>
      <c r="E3465" s="6" t="s">
        <v>9118</v>
      </c>
      <c r="F3465" s="6" t="s">
        <v>3822</v>
      </c>
      <c r="G3465" s="6" t="s">
        <v>16</v>
      </c>
      <c r="H3465" s="5">
        <v>1</v>
      </c>
      <c r="I3465" s="6" t="s">
        <v>3822</v>
      </c>
      <c r="J3465" s="5">
        <v>415</v>
      </c>
    </row>
    <row r="3466" s="2" customFormat="1" spans="1:10">
      <c r="A3466" s="6">
        <f>3464</f>
        <v>3464</v>
      </c>
      <c r="B3466" s="6" t="s">
        <v>9119</v>
      </c>
      <c r="C3466" s="6" t="s">
        <v>12</v>
      </c>
      <c r="D3466" s="6" t="s">
        <v>8374</v>
      </c>
      <c r="E3466" s="6" t="s">
        <v>9118</v>
      </c>
      <c r="F3466" s="6" t="s">
        <v>9120</v>
      </c>
      <c r="G3466" s="6" t="s">
        <v>16</v>
      </c>
      <c r="H3466" s="5">
        <v>1</v>
      </c>
      <c r="I3466" s="6" t="s">
        <v>9120</v>
      </c>
      <c r="J3466" s="5">
        <v>220</v>
      </c>
    </row>
    <row r="3467" s="2" customFormat="1" spans="1:10">
      <c r="A3467" s="6">
        <f>3465</f>
        <v>3465</v>
      </c>
      <c r="B3467" s="6" t="s">
        <v>9121</v>
      </c>
      <c r="C3467" s="6" t="s">
        <v>12</v>
      </c>
      <c r="D3467" s="6" t="s">
        <v>8374</v>
      </c>
      <c r="E3467" s="6" t="s">
        <v>9118</v>
      </c>
      <c r="F3467" s="6" t="s">
        <v>7181</v>
      </c>
      <c r="G3467" s="6" t="s">
        <v>16</v>
      </c>
      <c r="H3467" s="5">
        <v>1</v>
      </c>
      <c r="I3467" s="6" t="s">
        <v>7181</v>
      </c>
      <c r="J3467" s="5">
        <v>360</v>
      </c>
    </row>
    <row r="3468" s="2" customFormat="1" spans="1:10">
      <c r="A3468" s="6">
        <f>3466</f>
        <v>3466</v>
      </c>
      <c r="B3468" s="6" t="s">
        <v>9122</v>
      </c>
      <c r="C3468" s="6" t="s">
        <v>12</v>
      </c>
      <c r="D3468" s="6" t="s">
        <v>8374</v>
      </c>
      <c r="E3468" s="6" t="s">
        <v>9118</v>
      </c>
      <c r="F3468" s="6" t="s">
        <v>9123</v>
      </c>
      <c r="G3468" s="6" t="s">
        <v>16</v>
      </c>
      <c r="H3468" s="5">
        <v>3</v>
      </c>
      <c r="I3468" s="6" t="s">
        <v>9124</v>
      </c>
      <c r="J3468" s="5">
        <v>980</v>
      </c>
    </row>
    <row r="3469" s="2" customFormat="1" spans="1:10">
      <c r="A3469" s="6">
        <f>3467</f>
        <v>3467</v>
      </c>
      <c r="B3469" s="6" t="s">
        <v>9125</v>
      </c>
      <c r="C3469" s="6" t="s">
        <v>12</v>
      </c>
      <c r="D3469" s="6" t="s">
        <v>8374</v>
      </c>
      <c r="E3469" s="6" t="s">
        <v>9118</v>
      </c>
      <c r="F3469" s="6" t="s">
        <v>9126</v>
      </c>
      <c r="G3469" s="6" t="s">
        <v>16</v>
      </c>
      <c r="H3469" s="5">
        <v>3</v>
      </c>
      <c r="I3469" s="6" t="s">
        <v>9127</v>
      </c>
      <c r="J3469" s="5">
        <v>920</v>
      </c>
    </row>
    <row r="3470" s="2" customFormat="1" spans="1:10">
      <c r="A3470" s="6">
        <f>3468</f>
        <v>3468</v>
      </c>
      <c r="B3470" s="6" t="s">
        <v>9128</v>
      </c>
      <c r="C3470" s="6" t="s">
        <v>12</v>
      </c>
      <c r="D3470" s="6" t="s">
        <v>8374</v>
      </c>
      <c r="E3470" s="6" t="s">
        <v>9118</v>
      </c>
      <c r="F3470" s="6" t="s">
        <v>9129</v>
      </c>
      <c r="G3470" s="6" t="s">
        <v>16</v>
      </c>
      <c r="H3470" s="5">
        <v>1</v>
      </c>
      <c r="I3470" s="6" t="s">
        <v>9129</v>
      </c>
      <c r="J3470" s="5">
        <v>345</v>
      </c>
    </row>
    <row r="3471" s="2" customFormat="1" spans="1:10">
      <c r="A3471" s="6">
        <f>3469</f>
        <v>3469</v>
      </c>
      <c r="B3471" s="6" t="s">
        <v>9130</v>
      </c>
      <c r="C3471" s="6" t="s">
        <v>12</v>
      </c>
      <c r="D3471" s="6" t="s">
        <v>8374</v>
      </c>
      <c r="E3471" s="6" t="s">
        <v>9118</v>
      </c>
      <c r="F3471" s="6" t="s">
        <v>9131</v>
      </c>
      <c r="G3471" s="6" t="s">
        <v>16</v>
      </c>
      <c r="H3471" s="5">
        <v>2</v>
      </c>
      <c r="I3471" s="6" t="s">
        <v>9132</v>
      </c>
      <c r="J3471" s="5">
        <v>490</v>
      </c>
    </row>
    <row r="3472" s="2" customFormat="1" spans="1:10">
      <c r="A3472" s="6">
        <f>3470</f>
        <v>3470</v>
      </c>
      <c r="B3472" s="6" t="s">
        <v>9133</v>
      </c>
      <c r="C3472" s="6" t="s">
        <v>12</v>
      </c>
      <c r="D3472" s="6" t="s">
        <v>8374</v>
      </c>
      <c r="E3472" s="6" t="s">
        <v>9118</v>
      </c>
      <c r="F3472" s="6" t="s">
        <v>9134</v>
      </c>
      <c r="G3472" s="6" t="s">
        <v>16</v>
      </c>
      <c r="H3472" s="5">
        <v>1</v>
      </c>
      <c r="I3472" s="6" t="s">
        <v>9134</v>
      </c>
      <c r="J3472" s="5">
        <v>280</v>
      </c>
    </row>
    <row r="3473" s="2" customFormat="1" spans="1:10">
      <c r="A3473" s="6">
        <f>3471</f>
        <v>3471</v>
      </c>
      <c r="B3473" s="6" t="s">
        <v>9135</v>
      </c>
      <c r="C3473" s="6" t="s">
        <v>12</v>
      </c>
      <c r="D3473" s="6" t="s">
        <v>8374</v>
      </c>
      <c r="E3473" s="6" t="s">
        <v>9118</v>
      </c>
      <c r="F3473" s="6" t="s">
        <v>9136</v>
      </c>
      <c r="G3473" s="6" t="s">
        <v>16</v>
      </c>
      <c r="H3473" s="5">
        <v>1</v>
      </c>
      <c r="I3473" s="6" t="s">
        <v>9136</v>
      </c>
      <c r="J3473" s="5">
        <v>270</v>
      </c>
    </row>
    <row r="3474" s="2" customFormat="1" spans="1:10">
      <c r="A3474" s="6">
        <f>3472</f>
        <v>3472</v>
      </c>
      <c r="B3474" s="6" t="s">
        <v>9137</v>
      </c>
      <c r="C3474" s="6" t="s">
        <v>12</v>
      </c>
      <c r="D3474" s="6" t="s">
        <v>8374</v>
      </c>
      <c r="E3474" s="6" t="s">
        <v>9118</v>
      </c>
      <c r="F3474" s="6" t="s">
        <v>9138</v>
      </c>
      <c r="G3474" s="6" t="s">
        <v>16</v>
      </c>
      <c r="H3474" s="5">
        <v>1</v>
      </c>
      <c r="I3474" s="6" t="s">
        <v>9138</v>
      </c>
      <c r="J3474" s="5">
        <v>540</v>
      </c>
    </row>
    <row r="3475" s="2" customFormat="1" spans="1:10">
      <c r="A3475" s="6">
        <f>3473</f>
        <v>3473</v>
      </c>
      <c r="B3475" s="6" t="s">
        <v>9139</v>
      </c>
      <c r="C3475" s="6" t="s">
        <v>12</v>
      </c>
      <c r="D3475" s="6" t="s">
        <v>8374</v>
      </c>
      <c r="E3475" s="6" t="s">
        <v>9118</v>
      </c>
      <c r="F3475" s="6" t="s">
        <v>9140</v>
      </c>
      <c r="G3475" s="6" t="s">
        <v>16</v>
      </c>
      <c r="H3475" s="5">
        <v>3</v>
      </c>
      <c r="I3475" s="6" t="s">
        <v>9141</v>
      </c>
      <c r="J3475" s="5">
        <v>540</v>
      </c>
    </row>
    <row r="3476" s="2" customFormat="1" spans="1:10">
      <c r="A3476" s="6">
        <f>3474</f>
        <v>3474</v>
      </c>
      <c r="B3476" s="6" t="s">
        <v>9142</v>
      </c>
      <c r="C3476" s="6" t="s">
        <v>12</v>
      </c>
      <c r="D3476" s="6" t="s">
        <v>8374</v>
      </c>
      <c r="E3476" s="6" t="s">
        <v>9118</v>
      </c>
      <c r="F3476" s="6" t="s">
        <v>7121</v>
      </c>
      <c r="G3476" s="6" t="s">
        <v>16</v>
      </c>
      <c r="H3476" s="5">
        <v>1</v>
      </c>
      <c r="I3476" s="6" t="s">
        <v>7121</v>
      </c>
      <c r="J3476" s="5">
        <v>540</v>
      </c>
    </row>
    <row r="3477" s="2" customFormat="1" spans="1:10">
      <c r="A3477" s="6">
        <f>3475</f>
        <v>3475</v>
      </c>
      <c r="B3477" s="6" t="s">
        <v>9143</v>
      </c>
      <c r="C3477" s="6" t="s">
        <v>12</v>
      </c>
      <c r="D3477" s="6" t="s">
        <v>8374</v>
      </c>
      <c r="E3477" s="6" t="s">
        <v>9118</v>
      </c>
      <c r="F3477" s="6" t="s">
        <v>9144</v>
      </c>
      <c r="G3477" s="6" t="s">
        <v>16</v>
      </c>
      <c r="H3477" s="5">
        <v>1</v>
      </c>
      <c r="I3477" s="6" t="s">
        <v>9144</v>
      </c>
      <c r="J3477" s="5">
        <v>348</v>
      </c>
    </row>
    <row r="3478" s="2" customFormat="1" spans="1:10">
      <c r="A3478" s="6">
        <f>3476</f>
        <v>3476</v>
      </c>
      <c r="B3478" s="6" t="s">
        <v>9145</v>
      </c>
      <c r="C3478" s="6" t="s">
        <v>12</v>
      </c>
      <c r="D3478" s="6" t="s">
        <v>8374</v>
      </c>
      <c r="E3478" s="6" t="s">
        <v>9118</v>
      </c>
      <c r="F3478" s="6" t="s">
        <v>9146</v>
      </c>
      <c r="G3478" s="6" t="s">
        <v>16</v>
      </c>
      <c r="H3478" s="5">
        <v>2</v>
      </c>
      <c r="I3478" s="6" t="s">
        <v>9147</v>
      </c>
      <c r="J3478" s="5">
        <v>514</v>
      </c>
    </row>
    <row r="3479" s="2" customFormat="1" spans="1:10">
      <c r="A3479" s="6">
        <f>3477</f>
        <v>3477</v>
      </c>
      <c r="B3479" s="6" t="s">
        <v>9148</v>
      </c>
      <c r="C3479" s="6" t="s">
        <v>12</v>
      </c>
      <c r="D3479" s="6" t="s">
        <v>8374</v>
      </c>
      <c r="E3479" s="6" t="s">
        <v>9118</v>
      </c>
      <c r="F3479" s="6" t="s">
        <v>9149</v>
      </c>
      <c r="G3479" s="6" t="s">
        <v>16</v>
      </c>
      <c r="H3479" s="5">
        <v>1</v>
      </c>
      <c r="I3479" s="6" t="s">
        <v>9149</v>
      </c>
      <c r="J3479" s="5">
        <v>470</v>
      </c>
    </row>
    <row r="3480" s="2" customFormat="1" spans="1:10">
      <c r="A3480" s="6">
        <f>3478</f>
        <v>3478</v>
      </c>
      <c r="B3480" s="6" t="s">
        <v>9150</v>
      </c>
      <c r="C3480" s="6" t="s">
        <v>12</v>
      </c>
      <c r="D3480" s="6" t="s">
        <v>8374</v>
      </c>
      <c r="E3480" s="6" t="s">
        <v>9118</v>
      </c>
      <c r="F3480" s="6" t="s">
        <v>9151</v>
      </c>
      <c r="G3480" s="6" t="s">
        <v>16</v>
      </c>
      <c r="H3480" s="5">
        <v>3</v>
      </c>
      <c r="I3480" s="6" t="s">
        <v>9152</v>
      </c>
      <c r="J3480" s="5">
        <v>725</v>
      </c>
    </row>
    <row r="3481" s="2" customFormat="1" spans="1:10">
      <c r="A3481" s="6">
        <f>3479</f>
        <v>3479</v>
      </c>
      <c r="B3481" s="6" t="s">
        <v>9153</v>
      </c>
      <c r="C3481" s="6" t="s">
        <v>12</v>
      </c>
      <c r="D3481" s="6" t="s">
        <v>8374</v>
      </c>
      <c r="E3481" s="6" t="s">
        <v>9118</v>
      </c>
      <c r="F3481" s="6" t="s">
        <v>9154</v>
      </c>
      <c r="G3481" s="6" t="s">
        <v>16</v>
      </c>
      <c r="H3481" s="5">
        <v>1</v>
      </c>
      <c r="I3481" s="6" t="s">
        <v>9154</v>
      </c>
      <c r="J3481" s="5">
        <v>470</v>
      </c>
    </row>
    <row r="3482" s="2" customFormat="1" spans="1:10">
      <c r="A3482" s="6">
        <f>3480</f>
        <v>3480</v>
      </c>
      <c r="B3482" s="6" t="s">
        <v>9155</v>
      </c>
      <c r="C3482" s="6" t="s">
        <v>12</v>
      </c>
      <c r="D3482" s="6" t="s">
        <v>8374</v>
      </c>
      <c r="E3482" s="6" t="s">
        <v>9118</v>
      </c>
      <c r="F3482" s="6" t="s">
        <v>9156</v>
      </c>
      <c r="G3482" s="6" t="s">
        <v>16</v>
      </c>
      <c r="H3482" s="5">
        <v>3</v>
      </c>
      <c r="I3482" s="6" t="s">
        <v>9157</v>
      </c>
      <c r="J3482" s="5">
        <v>880</v>
      </c>
    </row>
    <row r="3483" s="2" customFormat="1" spans="1:10">
      <c r="A3483" s="6">
        <f>3481</f>
        <v>3481</v>
      </c>
      <c r="B3483" s="6" t="s">
        <v>9158</v>
      </c>
      <c r="C3483" s="6" t="s">
        <v>12</v>
      </c>
      <c r="D3483" s="6" t="s">
        <v>8374</v>
      </c>
      <c r="E3483" s="6" t="s">
        <v>9118</v>
      </c>
      <c r="F3483" s="6" t="s">
        <v>9159</v>
      </c>
      <c r="G3483" s="6" t="s">
        <v>16</v>
      </c>
      <c r="H3483" s="5">
        <v>2</v>
      </c>
      <c r="I3483" s="6" t="s">
        <v>9160</v>
      </c>
      <c r="J3483" s="5">
        <v>980</v>
      </c>
    </row>
    <row r="3484" s="2" customFormat="1" spans="1:10">
      <c r="A3484" s="6">
        <f>3482</f>
        <v>3482</v>
      </c>
      <c r="B3484" s="6" t="s">
        <v>9161</v>
      </c>
      <c r="C3484" s="6" t="s">
        <v>12</v>
      </c>
      <c r="D3484" s="6" t="s">
        <v>8374</v>
      </c>
      <c r="E3484" s="6" t="s">
        <v>9118</v>
      </c>
      <c r="F3484" s="6" t="s">
        <v>9162</v>
      </c>
      <c r="G3484" s="6" t="s">
        <v>16</v>
      </c>
      <c r="H3484" s="5">
        <v>3</v>
      </c>
      <c r="I3484" s="6" t="s">
        <v>9163</v>
      </c>
      <c r="J3484" s="5">
        <v>880</v>
      </c>
    </row>
    <row r="3485" s="2" customFormat="1" ht="27" spans="1:10">
      <c r="A3485" s="6">
        <f>3483</f>
        <v>3483</v>
      </c>
      <c r="B3485" s="6" t="s">
        <v>9164</v>
      </c>
      <c r="C3485" s="6" t="s">
        <v>12</v>
      </c>
      <c r="D3485" s="6" t="s">
        <v>8374</v>
      </c>
      <c r="E3485" s="6" t="s">
        <v>9118</v>
      </c>
      <c r="F3485" s="6" t="s">
        <v>9165</v>
      </c>
      <c r="G3485" s="6" t="s">
        <v>16</v>
      </c>
      <c r="H3485" s="5">
        <v>5</v>
      </c>
      <c r="I3485" s="6" t="s">
        <v>9166</v>
      </c>
      <c r="J3485" s="5">
        <v>500</v>
      </c>
    </row>
    <row r="3486" s="2" customFormat="1" spans="1:10">
      <c r="A3486" s="6">
        <f>3484</f>
        <v>3484</v>
      </c>
      <c r="B3486" s="6" t="s">
        <v>9167</v>
      </c>
      <c r="C3486" s="6" t="s">
        <v>12</v>
      </c>
      <c r="D3486" s="6" t="s">
        <v>8374</v>
      </c>
      <c r="E3486" s="6" t="s">
        <v>9118</v>
      </c>
      <c r="F3486" s="6" t="s">
        <v>9168</v>
      </c>
      <c r="G3486" s="6" t="s">
        <v>16</v>
      </c>
      <c r="H3486" s="5">
        <v>3</v>
      </c>
      <c r="I3486" s="6" t="s">
        <v>9169</v>
      </c>
      <c r="J3486" s="5">
        <v>630</v>
      </c>
    </row>
    <row r="3487" s="2" customFormat="1" ht="27" spans="1:10">
      <c r="A3487" s="6">
        <f>3485</f>
        <v>3485</v>
      </c>
      <c r="B3487" s="6" t="s">
        <v>9170</v>
      </c>
      <c r="C3487" s="6" t="s">
        <v>12</v>
      </c>
      <c r="D3487" s="6" t="s">
        <v>8374</v>
      </c>
      <c r="E3487" s="6" t="s">
        <v>9118</v>
      </c>
      <c r="F3487" s="6" t="s">
        <v>9171</v>
      </c>
      <c r="G3487" s="6" t="s">
        <v>16</v>
      </c>
      <c r="H3487" s="5">
        <v>4</v>
      </c>
      <c r="I3487" s="6" t="s">
        <v>9172</v>
      </c>
      <c r="J3487" s="5">
        <v>999</v>
      </c>
    </row>
    <row r="3488" s="2" customFormat="1" spans="1:10">
      <c r="A3488" s="6">
        <f>3486</f>
        <v>3486</v>
      </c>
      <c r="B3488" s="6" t="s">
        <v>9173</v>
      </c>
      <c r="C3488" s="6" t="s">
        <v>12</v>
      </c>
      <c r="D3488" s="6" t="s">
        <v>8374</v>
      </c>
      <c r="E3488" s="6" t="s">
        <v>9118</v>
      </c>
      <c r="F3488" s="6" t="s">
        <v>9174</v>
      </c>
      <c r="G3488" s="6" t="s">
        <v>16</v>
      </c>
      <c r="H3488" s="5">
        <v>3</v>
      </c>
      <c r="I3488" s="6" t="s">
        <v>9175</v>
      </c>
      <c r="J3488" s="5">
        <v>680</v>
      </c>
    </row>
    <row r="3489" s="2" customFormat="1" spans="1:10">
      <c r="A3489" s="6">
        <f>3487</f>
        <v>3487</v>
      </c>
      <c r="B3489" s="6" t="s">
        <v>9176</v>
      </c>
      <c r="C3489" s="6" t="s">
        <v>12</v>
      </c>
      <c r="D3489" s="6" t="s">
        <v>8374</v>
      </c>
      <c r="E3489" s="6" t="s">
        <v>9118</v>
      </c>
      <c r="F3489" s="6" t="s">
        <v>9177</v>
      </c>
      <c r="G3489" s="6" t="s">
        <v>16</v>
      </c>
      <c r="H3489" s="5">
        <v>1</v>
      </c>
      <c r="I3489" s="6" t="s">
        <v>9177</v>
      </c>
      <c r="J3489" s="5">
        <v>540</v>
      </c>
    </row>
    <row r="3490" s="2" customFormat="1" ht="27" spans="1:10">
      <c r="A3490" s="6">
        <f>3488</f>
        <v>3488</v>
      </c>
      <c r="B3490" s="6" t="s">
        <v>9178</v>
      </c>
      <c r="C3490" s="6" t="s">
        <v>12</v>
      </c>
      <c r="D3490" s="6" t="s">
        <v>8374</v>
      </c>
      <c r="E3490" s="6" t="s">
        <v>9118</v>
      </c>
      <c r="F3490" s="6" t="s">
        <v>9179</v>
      </c>
      <c r="G3490" s="6" t="s">
        <v>16</v>
      </c>
      <c r="H3490" s="5">
        <v>4</v>
      </c>
      <c r="I3490" s="6" t="s">
        <v>9180</v>
      </c>
      <c r="J3490" s="5">
        <v>665</v>
      </c>
    </row>
    <row r="3491" s="2" customFormat="1" spans="1:10">
      <c r="A3491" s="6">
        <f>3489</f>
        <v>3489</v>
      </c>
      <c r="B3491" s="6" t="s">
        <v>9181</v>
      </c>
      <c r="C3491" s="6" t="s">
        <v>12</v>
      </c>
      <c r="D3491" s="6" t="s">
        <v>8374</v>
      </c>
      <c r="E3491" s="6" t="s">
        <v>9118</v>
      </c>
      <c r="F3491" s="6" t="s">
        <v>9182</v>
      </c>
      <c r="G3491" s="6" t="s">
        <v>16</v>
      </c>
      <c r="H3491" s="5">
        <v>1</v>
      </c>
      <c r="I3491" s="6" t="s">
        <v>9182</v>
      </c>
      <c r="J3491" s="5">
        <v>370</v>
      </c>
    </row>
    <row r="3492" s="2" customFormat="1" spans="1:10">
      <c r="A3492" s="6">
        <f>3490</f>
        <v>3490</v>
      </c>
      <c r="B3492" s="6" t="s">
        <v>9183</v>
      </c>
      <c r="C3492" s="6" t="s">
        <v>12</v>
      </c>
      <c r="D3492" s="6" t="s">
        <v>8374</v>
      </c>
      <c r="E3492" s="6" t="s">
        <v>9118</v>
      </c>
      <c r="F3492" s="6" t="s">
        <v>9184</v>
      </c>
      <c r="G3492" s="6" t="s">
        <v>16</v>
      </c>
      <c r="H3492" s="5">
        <v>1</v>
      </c>
      <c r="I3492" s="6" t="s">
        <v>9184</v>
      </c>
      <c r="J3492" s="5">
        <v>370</v>
      </c>
    </row>
    <row r="3493" s="2" customFormat="1" spans="1:10">
      <c r="A3493" s="6">
        <f>3491</f>
        <v>3491</v>
      </c>
      <c r="B3493" s="6" t="s">
        <v>9185</v>
      </c>
      <c r="C3493" s="6" t="s">
        <v>12</v>
      </c>
      <c r="D3493" s="6" t="s">
        <v>8374</v>
      </c>
      <c r="E3493" s="6" t="s">
        <v>9118</v>
      </c>
      <c r="F3493" s="6" t="s">
        <v>9186</v>
      </c>
      <c r="G3493" s="6" t="s">
        <v>16</v>
      </c>
      <c r="H3493" s="5">
        <v>1</v>
      </c>
      <c r="I3493" s="6" t="s">
        <v>9186</v>
      </c>
      <c r="J3493" s="5">
        <v>243</v>
      </c>
    </row>
    <row r="3494" s="2" customFormat="1" spans="1:10">
      <c r="A3494" s="6">
        <f>3492</f>
        <v>3492</v>
      </c>
      <c r="B3494" s="6" t="s">
        <v>9187</v>
      </c>
      <c r="C3494" s="6" t="s">
        <v>12</v>
      </c>
      <c r="D3494" s="6" t="s">
        <v>8374</v>
      </c>
      <c r="E3494" s="6" t="s">
        <v>9118</v>
      </c>
      <c r="F3494" s="6" t="s">
        <v>9188</v>
      </c>
      <c r="G3494" s="6" t="s">
        <v>16</v>
      </c>
      <c r="H3494" s="5">
        <v>1</v>
      </c>
      <c r="I3494" s="6" t="s">
        <v>9188</v>
      </c>
      <c r="J3494" s="5">
        <v>300</v>
      </c>
    </row>
    <row r="3495" s="2" customFormat="1" ht="27" spans="1:10">
      <c r="A3495" s="6">
        <f>3493</f>
        <v>3493</v>
      </c>
      <c r="B3495" s="6" t="s">
        <v>9189</v>
      </c>
      <c r="C3495" s="6" t="s">
        <v>12</v>
      </c>
      <c r="D3495" s="6" t="s">
        <v>8374</v>
      </c>
      <c r="E3495" s="6" t="s">
        <v>9118</v>
      </c>
      <c r="F3495" s="6" t="s">
        <v>9190</v>
      </c>
      <c r="G3495" s="6" t="s">
        <v>16</v>
      </c>
      <c r="H3495" s="5">
        <v>5</v>
      </c>
      <c r="I3495" s="6" t="s">
        <v>9191</v>
      </c>
      <c r="J3495" s="5">
        <v>930</v>
      </c>
    </row>
    <row r="3496" s="2" customFormat="1" ht="27" spans="1:10">
      <c r="A3496" s="6">
        <f>3494</f>
        <v>3494</v>
      </c>
      <c r="B3496" s="6" t="s">
        <v>9192</v>
      </c>
      <c r="C3496" s="6" t="s">
        <v>12</v>
      </c>
      <c r="D3496" s="6" t="s">
        <v>8374</v>
      </c>
      <c r="E3496" s="6" t="s">
        <v>9118</v>
      </c>
      <c r="F3496" s="6" t="s">
        <v>9193</v>
      </c>
      <c r="G3496" s="6" t="s">
        <v>16</v>
      </c>
      <c r="H3496" s="5">
        <v>4</v>
      </c>
      <c r="I3496" s="6" t="s">
        <v>9194</v>
      </c>
      <c r="J3496" s="5">
        <v>690</v>
      </c>
    </row>
    <row r="3497" s="2" customFormat="1" spans="1:10">
      <c r="A3497" s="6">
        <f>3495</f>
        <v>3495</v>
      </c>
      <c r="B3497" s="6" t="s">
        <v>9195</v>
      </c>
      <c r="C3497" s="6" t="s">
        <v>12</v>
      </c>
      <c r="D3497" s="6" t="s">
        <v>8374</v>
      </c>
      <c r="E3497" s="6" t="s">
        <v>9118</v>
      </c>
      <c r="F3497" s="6" t="s">
        <v>9196</v>
      </c>
      <c r="G3497" s="6" t="s">
        <v>16</v>
      </c>
      <c r="H3497" s="5">
        <v>2</v>
      </c>
      <c r="I3497" s="6" t="s">
        <v>9197</v>
      </c>
      <c r="J3497" s="5">
        <v>375</v>
      </c>
    </row>
    <row r="3498" s="2" customFormat="1" spans="1:10">
      <c r="A3498" s="6">
        <f>3496</f>
        <v>3496</v>
      </c>
      <c r="B3498" s="6" t="s">
        <v>9198</v>
      </c>
      <c r="C3498" s="6" t="s">
        <v>12</v>
      </c>
      <c r="D3498" s="6" t="s">
        <v>8374</v>
      </c>
      <c r="E3498" s="6" t="s">
        <v>9118</v>
      </c>
      <c r="F3498" s="6" t="s">
        <v>9199</v>
      </c>
      <c r="G3498" s="6" t="s">
        <v>16</v>
      </c>
      <c r="H3498" s="5">
        <v>2</v>
      </c>
      <c r="I3498" s="6" t="s">
        <v>9200</v>
      </c>
      <c r="J3498" s="5">
        <v>628</v>
      </c>
    </row>
    <row r="3499" s="2" customFormat="1" spans="1:10">
      <c r="A3499" s="6">
        <f>3497</f>
        <v>3497</v>
      </c>
      <c r="B3499" s="6" t="s">
        <v>9201</v>
      </c>
      <c r="C3499" s="6" t="s">
        <v>12</v>
      </c>
      <c r="D3499" s="6" t="s">
        <v>8374</v>
      </c>
      <c r="E3499" s="6" t="s">
        <v>9118</v>
      </c>
      <c r="F3499" s="6" t="s">
        <v>9202</v>
      </c>
      <c r="G3499" s="6" t="s">
        <v>16</v>
      </c>
      <c r="H3499" s="5">
        <v>1</v>
      </c>
      <c r="I3499" s="6" t="s">
        <v>9202</v>
      </c>
      <c r="J3499" s="5">
        <v>270</v>
      </c>
    </row>
    <row r="3500" s="2" customFormat="1" spans="1:10">
      <c r="A3500" s="6">
        <f>3498</f>
        <v>3498</v>
      </c>
      <c r="B3500" s="6" t="s">
        <v>9203</v>
      </c>
      <c r="C3500" s="6" t="s">
        <v>12</v>
      </c>
      <c r="D3500" s="6" t="s">
        <v>8374</v>
      </c>
      <c r="E3500" s="6" t="s">
        <v>9118</v>
      </c>
      <c r="F3500" s="6" t="s">
        <v>9204</v>
      </c>
      <c r="G3500" s="6" t="s">
        <v>16</v>
      </c>
      <c r="H3500" s="5">
        <v>1</v>
      </c>
      <c r="I3500" s="6" t="s">
        <v>9204</v>
      </c>
      <c r="J3500" s="5">
        <v>260</v>
      </c>
    </row>
    <row r="3501" s="2" customFormat="1" ht="27" spans="1:10">
      <c r="A3501" s="6">
        <f>3499</f>
        <v>3499</v>
      </c>
      <c r="B3501" s="6" t="s">
        <v>9205</v>
      </c>
      <c r="C3501" s="6" t="s">
        <v>12</v>
      </c>
      <c r="D3501" s="6" t="s">
        <v>8374</v>
      </c>
      <c r="E3501" s="6" t="s">
        <v>9118</v>
      </c>
      <c r="F3501" s="6" t="s">
        <v>9206</v>
      </c>
      <c r="G3501" s="6" t="s">
        <v>16</v>
      </c>
      <c r="H3501" s="5">
        <v>4</v>
      </c>
      <c r="I3501" s="6" t="s">
        <v>9207</v>
      </c>
      <c r="J3501" s="5">
        <v>660</v>
      </c>
    </row>
    <row r="3502" s="2" customFormat="1" spans="1:10">
      <c r="A3502" s="6">
        <f>3500</f>
        <v>3500</v>
      </c>
      <c r="B3502" s="6" t="s">
        <v>9208</v>
      </c>
      <c r="C3502" s="6" t="s">
        <v>12</v>
      </c>
      <c r="D3502" s="6" t="s">
        <v>8374</v>
      </c>
      <c r="E3502" s="6" t="s">
        <v>9118</v>
      </c>
      <c r="F3502" s="6" t="s">
        <v>9209</v>
      </c>
      <c r="G3502" s="6" t="s">
        <v>16</v>
      </c>
      <c r="H3502" s="5">
        <v>1</v>
      </c>
      <c r="I3502" s="6" t="s">
        <v>9209</v>
      </c>
      <c r="J3502" s="5">
        <v>540</v>
      </c>
    </row>
    <row r="3503" s="2" customFormat="1" spans="1:10">
      <c r="A3503" s="6">
        <f>3501</f>
        <v>3501</v>
      </c>
      <c r="B3503" s="6" t="s">
        <v>9210</v>
      </c>
      <c r="C3503" s="6" t="s">
        <v>12</v>
      </c>
      <c r="D3503" s="6" t="s">
        <v>8374</v>
      </c>
      <c r="E3503" s="6" t="s">
        <v>9118</v>
      </c>
      <c r="F3503" s="6" t="s">
        <v>9211</v>
      </c>
      <c r="G3503" s="6" t="s">
        <v>16</v>
      </c>
      <c r="H3503" s="5">
        <v>2</v>
      </c>
      <c r="I3503" s="6" t="s">
        <v>9212</v>
      </c>
      <c r="J3503" s="5">
        <v>880</v>
      </c>
    </row>
    <row r="3504" s="2" customFormat="1" spans="1:10">
      <c r="A3504" s="6">
        <f>3502</f>
        <v>3502</v>
      </c>
      <c r="B3504" s="6" t="s">
        <v>9213</v>
      </c>
      <c r="C3504" s="6" t="s">
        <v>12</v>
      </c>
      <c r="D3504" s="6" t="s">
        <v>8374</v>
      </c>
      <c r="E3504" s="6" t="s">
        <v>9118</v>
      </c>
      <c r="F3504" s="6" t="s">
        <v>9214</v>
      </c>
      <c r="G3504" s="6" t="s">
        <v>16</v>
      </c>
      <c r="H3504" s="5">
        <v>1</v>
      </c>
      <c r="I3504" s="6" t="s">
        <v>9214</v>
      </c>
      <c r="J3504" s="5">
        <v>440</v>
      </c>
    </row>
    <row r="3505" s="2" customFormat="1" spans="1:10">
      <c r="A3505" s="6">
        <f>3503</f>
        <v>3503</v>
      </c>
      <c r="B3505" s="6" t="s">
        <v>9215</v>
      </c>
      <c r="C3505" s="6" t="s">
        <v>12</v>
      </c>
      <c r="D3505" s="6" t="s">
        <v>8374</v>
      </c>
      <c r="E3505" s="6" t="s">
        <v>9118</v>
      </c>
      <c r="F3505" s="6" t="s">
        <v>9216</v>
      </c>
      <c r="G3505" s="6" t="s">
        <v>16</v>
      </c>
      <c r="H3505" s="5">
        <v>1</v>
      </c>
      <c r="I3505" s="6" t="s">
        <v>9216</v>
      </c>
      <c r="J3505" s="5">
        <v>295</v>
      </c>
    </row>
    <row r="3506" s="2" customFormat="1" spans="1:10">
      <c r="A3506" s="6">
        <f>3504</f>
        <v>3504</v>
      </c>
      <c r="B3506" s="6" t="s">
        <v>9217</v>
      </c>
      <c r="C3506" s="6" t="s">
        <v>12</v>
      </c>
      <c r="D3506" s="6" t="s">
        <v>8374</v>
      </c>
      <c r="E3506" s="6" t="s">
        <v>9118</v>
      </c>
      <c r="F3506" s="6" t="s">
        <v>9218</v>
      </c>
      <c r="G3506" s="6" t="s">
        <v>16</v>
      </c>
      <c r="H3506" s="5">
        <v>1</v>
      </c>
      <c r="I3506" s="6" t="s">
        <v>9218</v>
      </c>
      <c r="J3506" s="5">
        <v>440</v>
      </c>
    </row>
    <row r="3507" s="2" customFormat="1" spans="1:10">
      <c r="A3507" s="6">
        <f>3505</f>
        <v>3505</v>
      </c>
      <c r="B3507" s="6" t="s">
        <v>9219</v>
      </c>
      <c r="C3507" s="6" t="s">
        <v>12</v>
      </c>
      <c r="D3507" s="6" t="s">
        <v>8374</v>
      </c>
      <c r="E3507" s="6" t="s">
        <v>9118</v>
      </c>
      <c r="F3507" s="6" t="s">
        <v>9220</v>
      </c>
      <c r="G3507" s="6" t="s">
        <v>16</v>
      </c>
      <c r="H3507" s="5">
        <v>1</v>
      </c>
      <c r="I3507" s="6" t="s">
        <v>9220</v>
      </c>
      <c r="J3507" s="5">
        <v>305</v>
      </c>
    </row>
    <row r="3508" s="2" customFormat="1" spans="1:10">
      <c r="A3508" s="6">
        <f>3506</f>
        <v>3506</v>
      </c>
      <c r="B3508" s="6" t="s">
        <v>9221</v>
      </c>
      <c r="C3508" s="6" t="s">
        <v>12</v>
      </c>
      <c r="D3508" s="6" t="s">
        <v>8374</v>
      </c>
      <c r="E3508" s="6" t="s">
        <v>9118</v>
      </c>
      <c r="F3508" s="6" t="s">
        <v>9222</v>
      </c>
      <c r="G3508" s="6" t="s">
        <v>16</v>
      </c>
      <c r="H3508" s="5">
        <v>1</v>
      </c>
      <c r="I3508" s="6" t="s">
        <v>9222</v>
      </c>
      <c r="J3508" s="5">
        <v>370</v>
      </c>
    </row>
    <row r="3509" s="2" customFormat="1" spans="1:10">
      <c r="A3509" s="6">
        <f>3507</f>
        <v>3507</v>
      </c>
      <c r="B3509" s="6" t="s">
        <v>9223</v>
      </c>
      <c r="C3509" s="6" t="s">
        <v>12</v>
      </c>
      <c r="D3509" s="6" t="s">
        <v>8374</v>
      </c>
      <c r="E3509" s="6" t="s">
        <v>9118</v>
      </c>
      <c r="F3509" s="6" t="s">
        <v>9224</v>
      </c>
      <c r="G3509" s="6" t="s">
        <v>16</v>
      </c>
      <c r="H3509" s="5">
        <v>2</v>
      </c>
      <c r="I3509" s="6" t="s">
        <v>9225</v>
      </c>
      <c r="J3509" s="5">
        <v>706</v>
      </c>
    </row>
    <row r="3510" s="2" customFormat="1" spans="1:10">
      <c r="A3510" s="6">
        <f>3508</f>
        <v>3508</v>
      </c>
      <c r="B3510" s="6" t="s">
        <v>9226</v>
      </c>
      <c r="C3510" s="6" t="s">
        <v>12</v>
      </c>
      <c r="D3510" s="6" t="s">
        <v>8374</v>
      </c>
      <c r="E3510" s="6" t="s">
        <v>9118</v>
      </c>
      <c r="F3510" s="6" t="s">
        <v>9227</v>
      </c>
      <c r="G3510" s="6" t="s">
        <v>16</v>
      </c>
      <c r="H3510" s="5">
        <v>3</v>
      </c>
      <c r="I3510" s="6" t="s">
        <v>9228</v>
      </c>
      <c r="J3510" s="5">
        <v>487</v>
      </c>
    </row>
    <row r="3511" s="2" customFormat="1" spans="1:10">
      <c r="A3511" s="6">
        <f>3509</f>
        <v>3509</v>
      </c>
      <c r="B3511" s="6" t="s">
        <v>9229</v>
      </c>
      <c r="C3511" s="6" t="s">
        <v>12</v>
      </c>
      <c r="D3511" s="6" t="s">
        <v>8374</v>
      </c>
      <c r="E3511" s="6" t="s">
        <v>9118</v>
      </c>
      <c r="F3511" s="6" t="s">
        <v>9230</v>
      </c>
      <c r="G3511" s="6" t="s">
        <v>16</v>
      </c>
      <c r="H3511" s="5">
        <v>1</v>
      </c>
      <c r="I3511" s="6" t="s">
        <v>9230</v>
      </c>
      <c r="J3511" s="5">
        <v>345</v>
      </c>
    </row>
    <row r="3512" s="2" customFormat="1" ht="27" spans="1:10">
      <c r="A3512" s="6">
        <f>3510</f>
        <v>3510</v>
      </c>
      <c r="B3512" s="6" t="s">
        <v>9231</v>
      </c>
      <c r="C3512" s="6" t="s">
        <v>12</v>
      </c>
      <c r="D3512" s="6" t="s">
        <v>8374</v>
      </c>
      <c r="E3512" s="6" t="s">
        <v>9118</v>
      </c>
      <c r="F3512" s="6" t="s">
        <v>9232</v>
      </c>
      <c r="G3512" s="6" t="s">
        <v>16</v>
      </c>
      <c r="H3512" s="5">
        <v>4</v>
      </c>
      <c r="I3512" s="6" t="s">
        <v>9233</v>
      </c>
      <c r="J3512" s="5">
        <v>690</v>
      </c>
    </row>
    <row r="3513" s="2" customFormat="1" spans="1:10">
      <c r="A3513" s="6">
        <f>3511</f>
        <v>3511</v>
      </c>
      <c r="B3513" s="6" t="s">
        <v>9234</v>
      </c>
      <c r="C3513" s="6" t="s">
        <v>12</v>
      </c>
      <c r="D3513" s="6" t="s">
        <v>8374</v>
      </c>
      <c r="E3513" s="6" t="s">
        <v>9118</v>
      </c>
      <c r="F3513" s="6" t="s">
        <v>9235</v>
      </c>
      <c r="G3513" s="6" t="s">
        <v>16</v>
      </c>
      <c r="H3513" s="5">
        <v>1</v>
      </c>
      <c r="I3513" s="6" t="s">
        <v>9235</v>
      </c>
      <c r="J3513" s="5">
        <v>540</v>
      </c>
    </row>
    <row r="3514" s="2" customFormat="1" spans="1:10">
      <c r="A3514" s="6">
        <f>3512</f>
        <v>3512</v>
      </c>
      <c r="B3514" s="6" t="s">
        <v>9236</v>
      </c>
      <c r="C3514" s="6" t="s">
        <v>12</v>
      </c>
      <c r="D3514" s="6" t="s">
        <v>8374</v>
      </c>
      <c r="E3514" s="6" t="s">
        <v>9118</v>
      </c>
      <c r="F3514" s="6" t="s">
        <v>9237</v>
      </c>
      <c r="G3514" s="6" t="s">
        <v>16</v>
      </c>
      <c r="H3514" s="5">
        <v>2</v>
      </c>
      <c r="I3514" s="6" t="s">
        <v>9238</v>
      </c>
      <c r="J3514" s="5">
        <v>420</v>
      </c>
    </row>
    <row r="3515" s="2" customFormat="1" ht="27" spans="1:10">
      <c r="A3515" s="6">
        <f>3513</f>
        <v>3513</v>
      </c>
      <c r="B3515" s="6" t="s">
        <v>9239</v>
      </c>
      <c r="C3515" s="6" t="s">
        <v>12</v>
      </c>
      <c r="D3515" s="6" t="s">
        <v>8374</v>
      </c>
      <c r="E3515" s="6" t="s">
        <v>9118</v>
      </c>
      <c r="F3515" s="6" t="s">
        <v>9240</v>
      </c>
      <c r="G3515" s="6" t="s">
        <v>16</v>
      </c>
      <c r="H3515" s="5">
        <v>4</v>
      </c>
      <c r="I3515" s="6" t="s">
        <v>9241</v>
      </c>
      <c r="J3515" s="5">
        <v>650</v>
      </c>
    </row>
    <row r="3516" s="2" customFormat="1" spans="1:10">
      <c r="A3516" s="6">
        <f>3514</f>
        <v>3514</v>
      </c>
      <c r="B3516" s="6" t="s">
        <v>9242</v>
      </c>
      <c r="C3516" s="6" t="s">
        <v>12</v>
      </c>
      <c r="D3516" s="6" t="s">
        <v>8374</v>
      </c>
      <c r="E3516" s="6" t="s">
        <v>9118</v>
      </c>
      <c r="F3516" s="6" t="s">
        <v>9243</v>
      </c>
      <c r="G3516" s="6" t="s">
        <v>16</v>
      </c>
      <c r="H3516" s="5">
        <v>1</v>
      </c>
      <c r="I3516" s="6" t="s">
        <v>9243</v>
      </c>
      <c r="J3516" s="5">
        <v>315</v>
      </c>
    </row>
    <row r="3517" s="2" customFormat="1" spans="1:10">
      <c r="A3517" s="6">
        <f>3515</f>
        <v>3515</v>
      </c>
      <c r="B3517" s="6" t="s">
        <v>9244</v>
      </c>
      <c r="C3517" s="6" t="s">
        <v>12</v>
      </c>
      <c r="D3517" s="6" t="s">
        <v>8374</v>
      </c>
      <c r="E3517" s="6" t="s">
        <v>9118</v>
      </c>
      <c r="F3517" s="6" t="s">
        <v>9245</v>
      </c>
      <c r="G3517" s="6" t="s">
        <v>16</v>
      </c>
      <c r="H3517" s="5">
        <v>1</v>
      </c>
      <c r="I3517" s="6" t="s">
        <v>9245</v>
      </c>
      <c r="J3517" s="5">
        <v>300</v>
      </c>
    </row>
    <row r="3518" s="2" customFormat="1" spans="1:10">
      <c r="A3518" s="6">
        <f>3516</f>
        <v>3516</v>
      </c>
      <c r="B3518" s="6" t="s">
        <v>9246</v>
      </c>
      <c r="C3518" s="6" t="s">
        <v>12</v>
      </c>
      <c r="D3518" s="6" t="s">
        <v>8374</v>
      </c>
      <c r="E3518" s="6" t="s">
        <v>9118</v>
      </c>
      <c r="F3518" s="6" t="s">
        <v>9247</v>
      </c>
      <c r="G3518" s="6" t="s">
        <v>16</v>
      </c>
      <c r="H3518" s="5">
        <v>1</v>
      </c>
      <c r="I3518" s="6" t="s">
        <v>9247</v>
      </c>
      <c r="J3518" s="5">
        <v>270</v>
      </c>
    </row>
    <row r="3519" s="2" customFormat="1" spans="1:10">
      <c r="A3519" s="6">
        <f>3517</f>
        <v>3517</v>
      </c>
      <c r="B3519" s="6" t="s">
        <v>9248</v>
      </c>
      <c r="C3519" s="6" t="s">
        <v>12</v>
      </c>
      <c r="D3519" s="6" t="s">
        <v>8374</v>
      </c>
      <c r="E3519" s="6" t="s">
        <v>9118</v>
      </c>
      <c r="F3519" s="6" t="s">
        <v>9249</v>
      </c>
      <c r="G3519" s="6" t="s">
        <v>16</v>
      </c>
      <c r="H3519" s="5">
        <v>2</v>
      </c>
      <c r="I3519" s="6" t="s">
        <v>9250</v>
      </c>
      <c r="J3519" s="5">
        <v>630</v>
      </c>
    </row>
    <row r="3520" s="2" customFormat="1" spans="1:10">
      <c r="A3520" s="6">
        <f>3518</f>
        <v>3518</v>
      </c>
      <c r="B3520" s="6" t="s">
        <v>9251</v>
      </c>
      <c r="C3520" s="6" t="s">
        <v>12</v>
      </c>
      <c r="D3520" s="6" t="s">
        <v>8374</v>
      </c>
      <c r="E3520" s="6" t="s">
        <v>9118</v>
      </c>
      <c r="F3520" s="6" t="s">
        <v>9252</v>
      </c>
      <c r="G3520" s="6" t="s">
        <v>16</v>
      </c>
      <c r="H3520" s="5">
        <v>1</v>
      </c>
      <c r="I3520" s="6" t="s">
        <v>9252</v>
      </c>
      <c r="J3520" s="5">
        <v>270</v>
      </c>
    </row>
    <row r="3521" s="2" customFormat="1" spans="1:10">
      <c r="A3521" s="6">
        <f>3519</f>
        <v>3519</v>
      </c>
      <c r="B3521" s="6" t="s">
        <v>9253</v>
      </c>
      <c r="C3521" s="6" t="s">
        <v>12</v>
      </c>
      <c r="D3521" s="6" t="s">
        <v>8374</v>
      </c>
      <c r="E3521" s="6" t="s">
        <v>9118</v>
      </c>
      <c r="F3521" s="6" t="s">
        <v>9254</v>
      </c>
      <c r="G3521" s="6" t="s">
        <v>16</v>
      </c>
      <c r="H3521" s="5">
        <v>1</v>
      </c>
      <c r="I3521" s="6" t="s">
        <v>9254</v>
      </c>
      <c r="J3521" s="5">
        <v>540</v>
      </c>
    </row>
    <row r="3522" s="2" customFormat="1" spans="1:10">
      <c r="A3522" s="6">
        <f>3520</f>
        <v>3520</v>
      </c>
      <c r="B3522" s="6" t="s">
        <v>9255</v>
      </c>
      <c r="C3522" s="6" t="s">
        <v>12</v>
      </c>
      <c r="D3522" s="6" t="s">
        <v>8374</v>
      </c>
      <c r="E3522" s="6" t="s">
        <v>9118</v>
      </c>
      <c r="F3522" s="6" t="s">
        <v>9256</v>
      </c>
      <c r="G3522" s="6" t="s">
        <v>16</v>
      </c>
      <c r="H3522" s="5">
        <v>1</v>
      </c>
      <c r="I3522" s="6" t="s">
        <v>9256</v>
      </c>
      <c r="J3522" s="5">
        <v>243</v>
      </c>
    </row>
    <row r="3523" s="2" customFormat="1" spans="1:10">
      <c r="A3523" s="6">
        <f>3521</f>
        <v>3521</v>
      </c>
      <c r="B3523" s="6" t="s">
        <v>9257</v>
      </c>
      <c r="C3523" s="6" t="s">
        <v>12</v>
      </c>
      <c r="D3523" s="6" t="s">
        <v>8374</v>
      </c>
      <c r="E3523" s="6" t="s">
        <v>9118</v>
      </c>
      <c r="F3523" s="6" t="s">
        <v>9258</v>
      </c>
      <c r="G3523" s="6" t="s">
        <v>16</v>
      </c>
      <c r="H3523" s="5">
        <v>1</v>
      </c>
      <c r="I3523" s="6" t="s">
        <v>9258</v>
      </c>
      <c r="J3523" s="5">
        <v>380</v>
      </c>
    </row>
    <row r="3524" s="2" customFormat="1" spans="1:10">
      <c r="A3524" s="6">
        <f>3522</f>
        <v>3522</v>
      </c>
      <c r="B3524" s="6" t="s">
        <v>9259</v>
      </c>
      <c r="C3524" s="6" t="s">
        <v>12</v>
      </c>
      <c r="D3524" s="6" t="s">
        <v>8374</v>
      </c>
      <c r="E3524" s="6" t="s">
        <v>9118</v>
      </c>
      <c r="F3524" s="6" t="s">
        <v>9260</v>
      </c>
      <c r="G3524" s="6" t="s">
        <v>16</v>
      </c>
      <c r="H3524" s="5">
        <v>2</v>
      </c>
      <c r="I3524" s="6" t="s">
        <v>9261</v>
      </c>
      <c r="J3524" s="5">
        <v>430</v>
      </c>
    </row>
    <row r="3525" s="2" customFormat="1" spans="1:10">
      <c r="A3525" s="6">
        <f>3523</f>
        <v>3523</v>
      </c>
      <c r="B3525" s="6" t="s">
        <v>9262</v>
      </c>
      <c r="C3525" s="6" t="s">
        <v>12</v>
      </c>
      <c r="D3525" s="6" t="s">
        <v>8374</v>
      </c>
      <c r="E3525" s="6" t="s">
        <v>9118</v>
      </c>
      <c r="F3525" s="6" t="s">
        <v>9263</v>
      </c>
      <c r="G3525" s="6" t="s">
        <v>16</v>
      </c>
      <c r="H3525" s="5">
        <v>1</v>
      </c>
      <c r="I3525" s="6" t="s">
        <v>9263</v>
      </c>
      <c r="J3525" s="5">
        <v>370</v>
      </c>
    </row>
    <row r="3526" s="2" customFormat="1" ht="27" spans="1:10">
      <c r="A3526" s="6">
        <f>3524</f>
        <v>3524</v>
      </c>
      <c r="B3526" s="6" t="s">
        <v>9264</v>
      </c>
      <c r="C3526" s="6" t="s">
        <v>12</v>
      </c>
      <c r="D3526" s="6" t="s">
        <v>8374</v>
      </c>
      <c r="E3526" s="6" t="s">
        <v>9118</v>
      </c>
      <c r="F3526" s="6" t="s">
        <v>9265</v>
      </c>
      <c r="G3526" s="6" t="s">
        <v>16</v>
      </c>
      <c r="H3526" s="5">
        <v>4</v>
      </c>
      <c r="I3526" s="6" t="s">
        <v>9266</v>
      </c>
      <c r="J3526" s="5">
        <v>690</v>
      </c>
    </row>
    <row r="3527" s="2" customFormat="1" spans="1:10">
      <c r="A3527" s="6">
        <f>3525</f>
        <v>3525</v>
      </c>
      <c r="B3527" s="6" t="s">
        <v>9267</v>
      </c>
      <c r="C3527" s="6" t="s">
        <v>12</v>
      </c>
      <c r="D3527" s="6" t="s">
        <v>8374</v>
      </c>
      <c r="E3527" s="6" t="s">
        <v>9268</v>
      </c>
      <c r="F3527" s="6" t="s">
        <v>9269</v>
      </c>
      <c r="G3527" s="6" t="s">
        <v>16</v>
      </c>
      <c r="H3527" s="5">
        <v>1</v>
      </c>
      <c r="I3527" s="6" t="s">
        <v>9269</v>
      </c>
      <c r="J3527" s="5">
        <v>360</v>
      </c>
    </row>
    <row r="3528" s="2" customFormat="1" ht="27" spans="1:10">
      <c r="A3528" s="6">
        <f>3526</f>
        <v>3526</v>
      </c>
      <c r="B3528" s="6" t="s">
        <v>9270</v>
      </c>
      <c r="C3528" s="6" t="s">
        <v>12</v>
      </c>
      <c r="D3528" s="6" t="s">
        <v>8374</v>
      </c>
      <c r="E3528" s="6" t="s">
        <v>9268</v>
      </c>
      <c r="F3528" s="6" t="s">
        <v>9271</v>
      </c>
      <c r="G3528" s="6" t="s">
        <v>16</v>
      </c>
      <c r="H3528" s="5">
        <v>6</v>
      </c>
      <c r="I3528" s="6" t="s">
        <v>9272</v>
      </c>
      <c r="J3528" s="5">
        <v>1800</v>
      </c>
    </row>
    <row r="3529" s="2" customFormat="1" spans="1:10">
      <c r="A3529" s="6">
        <f>3527</f>
        <v>3527</v>
      </c>
      <c r="B3529" s="6" t="s">
        <v>9273</v>
      </c>
      <c r="C3529" s="6" t="s">
        <v>12</v>
      </c>
      <c r="D3529" s="6" t="s">
        <v>8374</v>
      </c>
      <c r="E3529" s="6" t="s">
        <v>9268</v>
      </c>
      <c r="F3529" s="6" t="s">
        <v>9274</v>
      </c>
      <c r="G3529" s="6" t="s">
        <v>16</v>
      </c>
      <c r="H3529" s="5">
        <v>2</v>
      </c>
      <c r="I3529" s="6" t="s">
        <v>9275</v>
      </c>
      <c r="J3529" s="5">
        <v>620</v>
      </c>
    </row>
    <row r="3530" s="2" customFormat="1" ht="27" spans="1:10">
      <c r="A3530" s="6">
        <f>3528</f>
        <v>3528</v>
      </c>
      <c r="B3530" s="6" t="s">
        <v>9276</v>
      </c>
      <c r="C3530" s="6" t="s">
        <v>12</v>
      </c>
      <c r="D3530" s="6" t="s">
        <v>8374</v>
      </c>
      <c r="E3530" s="6" t="s">
        <v>9268</v>
      </c>
      <c r="F3530" s="6" t="s">
        <v>9277</v>
      </c>
      <c r="G3530" s="6" t="s">
        <v>16</v>
      </c>
      <c r="H3530" s="5">
        <v>6</v>
      </c>
      <c r="I3530" s="6" t="s">
        <v>9278</v>
      </c>
      <c r="J3530" s="5">
        <v>1560</v>
      </c>
    </row>
    <row r="3531" s="2" customFormat="1" ht="27" spans="1:10">
      <c r="A3531" s="6">
        <f>3529</f>
        <v>3529</v>
      </c>
      <c r="B3531" s="6" t="s">
        <v>9279</v>
      </c>
      <c r="C3531" s="6" t="s">
        <v>12</v>
      </c>
      <c r="D3531" s="6" t="s">
        <v>8374</v>
      </c>
      <c r="E3531" s="6" t="s">
        <v>9268</v>
      </c>
      <c r="F3531" s="6" t="s">
        <v>9280</v>
      </c>
      <c r="G3531" s="6" t="s">
        <v>16</v>
      </c>
      <c r="H3531" s="5">
        <v>4</v>
      </c>
      <c r="I3531" s="6" t="s">
        <v>9281</v>
      </c>
      <c r="J3531" s="5">
        <v>2160</v>
      </c>
    </row>
    <row r="3532" s="2" customFormat="1" spans="1:10">
      <c r="A3532" s="6">
        <f>3530</f>
        <v>3530</v>
      </c>
      <c r="B3532" s="6" t="s">
        <v>9282</v>
      </c>
      <c r="C3532" s="6" t="s">
        <v>12</v>
      </c>
      <c r="D3532" s="6" t="s">
        <v>8374</v>
      </c>
      <c r="E3532" s="6" t="s">
        <v>9268</v>
      </c>
      <c r="F3532" s="6" t="s">
        <v>9283</v>
      </c>
      <c r="G3532" s="6" t="s">
        <v>16</v>
      </c>
      <c r="H3532" s="5">
        <v>1</v>
      </c>
      <c r="I3532" s="6" t="s">
        <v>9283</v>
      </c>
      <c r="J3532" s="5">
        <v>440</v>
      </c>
    </row>
    <row r="3533" s="2" customFormat="1" ht="27" spans="1:10">
      <c r="A3533" s="6">
        <f>3531</f>
        <v>3531</v>
      </c>
      <c r="B3533" s="6" t="s">
        <v>9284</v>
      </c>
      <c r="C3533" s="6" t="s">
        <v>12</v>
      </c>
      <c r="D3533" s="6" t="s">
        <v>8374</v>
      </c>
      <c r="E3533" s="6" t="s">
        <v>9268</v>
      </c>
      <c r="F3533" s="6" t="s">
        <v>9285</v>
      </c>
      <c r="G3533" s="6" t="s">
        <v>16</v>
      </c>
      <c r="H3533" s="5">
        <v>6</v>
      </c>
      <c r="I3533" s="6" t="s">
        <v>9286</v>
      </c>
      <c r="J3533" s="5">
        <v>2740</v>
      </c>
    </row>
    <row r="3534" s="2" customFormat="1" spans="1:10">
      <c r="A3534" s="6">
        <f>3532</f>
        <v>3532</v>
      </c>
      <c r="B3534" s="6" t="s">
        <v>9287</v>
      </c>
      <c r="C3534" s="6" t="s">
        <v>12</v>
      </c>
      <c r="D3534" s="6" t="s">
        <v>8374</v>
      </c>
      <c r="E3534" s="6" t="s">
        <v>9268</v>
      </c>
      <c r="F3534" s="6" t="s">
        <v>9288</v>
      </c>
      <c r="G3534" s="6" t="s">
        <v>16</v>
      </c>
      <c r="H3534" s="5">
        <v>1</v>
      </c>
      <c r="I3534" s="6" t="s">
        <v>9288</v>
      </c>
      <c r="J3534" s="5">
        <v>620</v>
      </c>
    </row>
    <row r="3535" s="2" customFormat="1" spans="1:10">
      <c r="A3535" s="6">
        <f>3533</f>
        <v>3533</v>
      </c>
      <c r="B3535" s="6" t="s">
        <v>9289</v>
      </c>
      <c r="C3535" s="6" t="s">
        <v>12</v>
      </c>
      <c r="D3535" s="6" t="s">
        <v>8374</v>
      </c>
      <c r="E3535" s="6" t="s">
        <v>9268</v>
      </c>
      <c r="F3535" s="6" t="s">
        <v>9290</v>
      </c>
      <c r="G3535" s="6" t="s">
        <v>16</v>
      </c>
      <c r="H3535" s="5">
        <v>2</v>
      </c>
      <c r="I3535" s="6" t="s">
        <v>9291</v>
      </c>
      <c r="J3535" s="5">
        <v>680</v>
      </c>
    </row>
    <row r="3536" s="2" customFormat="1" spans="1:10">
      <c r="A3536" s="6">
        <f>3534</f>
        <v>3534</v>
      </c>
      <c r="B3536" s="6" t="s">
        <v>9292</v>
      </c>
      <c r="C3536" s="6" t="s">
        <v>12</v>
      </c>
      <c r="D3536" s="6" t="s">
        <v>8374</v>
      </c>
      <c r="E3536" s="6" t="s">
        <v>9268</v>
      </c>
      <c r="F3536" s="6" t="s">
        <v>9293</v>
      </c>
      <c r="G3536" s="6" t="s">
        <v>16</v>
      </c>
      <c r="H3536" s="5">
        <v>1</v>
      </c>
      <c r="I3536" s="6" t="s">
        <v>9293</v>
      </c>
      <c r="J3536" s="5">
        <v>340</v>
      </c>
    </row>
    <row r="3537" s="2" customFormat="1" ht="27" spans="1:10">
      <c r="A3537" s="6">
        <f>3535</f>
        <v>3535</v>
      </c>
      <c r="B3537" s="6" t="s">
        <v>9294</v>
      </c>
      <c r="C3537" s="6" t="s">
        <v>12</v>
      </c>
      <c r="D3537" s="6" t="s">
        <v>8374</v>
      </c>
      <c r="E3537" s="6" t="s">
        <v>9268</v>
      </c>
      <c r="F3537" s="6" t="s">
        <v>9295</v>
      </c>
      <c r="G3537" s="6" t="s">
        <v>16</v>
      </c>
      <c r="H3537" s="5">
        <v>4</v>
      </c>
      <c r="I3537" s="6" t="s">
        <v>9296</v>
      </c>
      <c r="J3537" s="5">
        <v>1360</v>
      </c>
    </row>
    <row r="3538" s="2" customFormat="1" spans="1:10">
      <c r="A3538" s="6">
        <f>3536</f>
        <v>3536</v>
      </c>
      <c r="B3538" s="6" t="s">
        <v>9297</v>
      </c>
      <c r="C3538" s="6" t="s">
        <v>12</v>
      </c>
      <c r="D3538" s="6" t="s">
        <v>8374</v>
      </c>
      <c r="E3538" s="6" t="s">
        <v>9268</v>
      </c>
      <c r="F3538" s="6" t="s">
        <v>9298</v>
      </c>
      <c r="G3538" s="6" t="s">
        <v>16</v>
      </c>
      <c r="H3538" s="5">
        <v>2</v>
      </c>
      <c r="I3538" s="6" t="s">
        <v>9299</v>
      </c>
      <c r="J3538" s="5">
        <v>620</v>
      </c>
    </row>
    <row r="3539" s="2" customFormat="1" ht="27" spans="1:10">
      <c r="A3539" s="6">
        <f>3537</f>
        <v>3537</v>
      </c>
      <c r="B3539" s="6" t="s">
        <v>9300</v>
      </c>
      <c r="C3539" s="6" t="s">
        <v>12</v>
      </c>
      <c r="D3539" s="6" t="s">
        <v>8374</v>
      </c>
      <c r="E3539" s="6" t="s">
        <v>9268</v>
      </c>
      <c r="F3539" s="6" t="s">
        <v>9301</v>
      </c>
      <c r="G3539" s="6" t="s">
        <v>16</v>
      </c>
      <c r="H3539" s="5">
        <v>5</v>
      </c>
      <c r="I3539" s="6" t="s">
        <v>9302</v>
      </c>
      <c r="J3539" s="5">
        <v>2700</v>
      </c>
    </row>
    <row r="3540" s="2" customFormat="1" spans="1:10">
      <c r="A3540" s="6">
        <f>3538</f>
        <v>3538</v>
      </c>
      <c r="B3540" s="6" t="s">
        <v>9303</v>
      </c>
      <c r="C3540" s="6" t="s">
        <v>12</v>
      </c>
      <c r="D3540" s="6" t="s">
        <v>8374</v>
      </c>
      <c r="E3540" s="6" t="s">
        <v>9268</v>
      </c>
      <c r="F3540" s="6" t="s">
        <v>9304</v>
      </c>
      <c r="G3540" s="6" t="s">
        <v>16</v>
      </c>
      <c r="H3540" s="5">
        <v>2</v>
      </c>
      <c r="I3540" s="6" t="s">
        <v>9305</v>
      </c>
      <c r="J3540" s="5">
        <v>682</v>
      </c>
    </row>
    <row r="3541" s="2" customFormat="1" spans="1:10">
      <c r="A3541" s="6">
        <f>3539</f>
        <v>3539</v>
      </c>
      <c r="B3541" s="6" t="s">
        <v>9306</v>
      </c>
      <c r="C3541" s="6" t="s">
        <v>12</v>
      </c>
      <c r="D3541" s="6" t="s">
        <v>8374</v>
      </c>
      <c r="E3541" s="6" t="s">
        <v>9268</v>
      </c>
      <c r="F3541" s="6" t="s">
        <v>9307</v>
      </c>
      <c r="G3541" s="6" t="s">
        <v>16</v>
      </c>
      <c r="H3541" s="5">
        <v>1</v>
      </c>
      <c r="I3541" s="6" t="s">
        <v>9307</v>
      </c>
      <c r="J3541" s="5">
        <v>560</v>
      </c>
    </row>
    <row r="3542" s="2" customFormat="1" spans="1:10">
      <c r="A3542" s="6">
        <f>3540</f>
        <v>3540</v>
      </c>
      <c r="B3542" s="6" t="s">
        <v>9308</v>
      </c>
      <c r="C3542" s="6" t="s">
        <v>12</v>
      </c>
      <c r="D3542" s="6" t="s">
        <v>8374</v>
      </c>
      <c r="E3542" s="6" t="s">
        <v>9268</v>
      </c>
      <c r="F3542" s="6" t="s">
        <v>9309</v>
      </c>
      <c r="G3542" s="6" t="s">
        <v>16</v>
      </c>
      <c r="H3542" s="5">
        <v>1</v>
      </c>
      <c r="I3542" s="6" t="s">
        <v>9309</v>
      </c>
      <c r="J3542" s="5">
        <v>540</v>
      </c>
    </row>
    <row r="3543" s="2" customFormat="1" spans="1:10">
      <c r="A3543" s="6">
        <f>3541</f>
        <v>3541</v>
      </c>
      <c r="B3543" s="6" t="s">
        <v>9310</v>
      </c>
      <c r="C3543" s="6" t="s">
        <v>12</v>
      </c>
      <c r="D3543" s="6" t="s">
        <v>8374</v>
      </c>
      <c r="E3543" s="6" t="s">
        <v>9268</v>
      </c>
      <c r="F3543" s="6" t="s">
        <v>9311</v>
      </c>
      <c r="G3543" s="6" t="s">
        <v>16</v>
      </c>
      <c r="H3543" s="5">
        <v>3</v>
      </c>
      <c r="I3543" s="6" t="s">
        <v>9312</v>
      </c>
      <c r="J3543" s="5">
        <v>590</v>
      </c>
    </row>
    <row r="3544" s="2" customFormat="1" spans="1:10">
      <c r="A3544" s="6">
        <f>3542</f>
        <v>3542</v>
      </c>
      <c r="B3544" s="6" t="s">
        <v>9313</v>
      </c>
      <c r="C3544" s="6" t="s">
        <v>12</v>
      </c>
      <c r="D3544" s="6" t="s">
        <v>8374</v>
      </c>
      <c r="E3544" s="6" t="s">
        <v>9268</v>
      </c>
      <c r="F3544" s="6" t="s">
        <v>9314</v>
      </c>
      <c r="G3544" s="6" t="s">
        <v>16</v>
      </c>
      <c r="H3544" s="5">
        <v>1</v>
      </c>
      <c r="I3544" s="6" t="s">
        <v>9314</v>
      </c>
      <c r="J3544" s="5">
        <v>460</v>
      </c>
    </row>
    <row r="3545" s="2" customFormat="1" ht="27" spans="1:10">
      <c r="A3545" s="6">
        <f>3543</f>
        <v>3543</v>
      </c>
      <c r="B3545" s="6" t="s">
        <v>9315</v>
      </c>
      <c r="C3545" s="6" t="s">
        <v>12</v>
      </c>
      <c r="D3545" s="6" t="s">
        <v>8374</v>
      </c>
      <c r="E3545" s="6" t="s">
        <v>9268</v>
      </c>
      <c r="F3545" s="6" t="s">
        <v>9316</v>
      </c>
      <c r="G3545" s="6" t="s">
        <v>16</v>
      </c>
      <c r="H3545" s="5">
        <v>5</v>
      </c>
      <c r="I3545" s="6" t="s">
        <v>9317</v>
      </c>
      <c r="J3545" s="5">
        <v>1250</v>
      </c>
    </row>
    <row r="3546" s="2" customFormat="1" spans="1:10">
      <c r="A3546" s="6">
        <f>3544</f>
        <v>3544</v>
      </c>
      <c r="B3546" s="6" t="s">
        <v>9318</v>
      </c>
      <c r="C3546" s="6" t="s">
        <v>12</v>
      </c>
      <c r="D3546" s="6" t="s">
        <v>8374</v>
      </c>
      <c r="E3546" s="6" t="s">
        <v>9268</v>
      </c>
      <c r="F3546" s="6" t="s">
        <v>9319</v>
      </c>
      <c r="G3546" s="6" t="s">
        <v>16</v>
      </c>
      <c r="H3546" s="5">
        <v>3</v>
      </c>
      <c r="I3546" s="6" t="s">
        <v>9320</v>
      </c>
      <c r="J3546" s="5">
        <v>1620</v>
      </c>
    </row>
    <row r="3547" s="2" customFormat="1" spans="1:10">
      <c r="A3547" s="6">
        <f>3545</f>
        <v>3545</v>
      </c>
      <c r="B3547" s="6" t="s">
        <v>9321</v>
      </c>
      <c r="C3547" s="6" t="s">
        <v>12</v>
      </c>
      <c r="D3547" s="6" t="s">
        <v>8374</v>
      </c>
      <c r="E3547" s="6" t="s">
        <v>9268</v>
      </c>
      <c r="F3547" s="6" t="s">
        <v>9322</v>
      </c>
      <c r="G3547" s="6" t="s">
        <v>16</v>
      </c>
      <c r="H3547" s="5">
        <v>1</v>
      </c>
      <c r="I3547" s="6" t="s">
        <v>9322</v>
      </c>
      <c r="J3547" s="5">
        <v>620</v>
      </c>
    </row>
    <row r="3548" s="2" customFormat="1" spans="1:10">
      <c r="A3548" s="6">
        <f>3546</f>
        <v>3546</v>
      </c>
      <c r="B3548" s="6" t="s">
        <v>9323</v>
      </c>
      <c r="C3548" s="6" t="s">
        <v>12</v>
      </c>
      <c r="D3548" s="6" t="s">
        <v>8374</v>
      </c>
      <c r="E3548" s="6" t="s">
        <v>9268</v>
      </c>
      <c r="F3548" s="6" t="s">
        <v>9324</v>
      </c>
      <c r="G3548" s="6" t="s">
        <v>16</v>
      </c>
      <c r="H3548" s="5">
        <v>2</v>
      </c>
      <c r="I3548" s="6" t="s">
        <v>9325</v>
      </c>
      <c r="J3548" s="5">
        <v>686</v>
      </c>
    </row>
    <row r="3549" s="2" customFormat="1" spans="1:10">
      <c r="A3549" s="6">
        <f>3547</f>
        <v>3547</v>
      </c>
      <c r="B3549" s="6" t="s">
        <v>9326</v>
      </c>
      <c r="C3549" s="6" t="s">
        <v>12</v>
      </c>
      <c r="D3549" s="6" t="s">
        <v>8374</v>
      </c>
      <c r="E3549" s="6" t="s">
        <v>9268</v>
      </c>
      <c r="F3549" s="6" t="s">
        <v>9327</v>
      </c>
      <c r="G3549" s="6" t="s">
        <v>16</v>
      </c>
      <c r="H3549" s="5">
        <v>2</v>
      </c>
      <c r="I3549" s="6" t="s">
        <v>9328</v>
      </c>
      <c r="J3549" s="5">
        <v>678</v>
      </c>
    </row>
    <row r="3550" s="2" customFormat="1" spans="1:10">
      <c r="A3550" s="6">
        <f>3548</f>
        <v>3548</v>
      </c>
      <c r="B3550" s="6" t="s">
        <v>9329</v>
      </c>
      <c r="C3550" s="6" t="s">
        <v>12</v>
      </c>
      <c r="D3550" s="6" t="s">
        <v>8374</v>
      </c>
      <c r="E3550" s="6" t="s">
        <v>9268</v>
      </c>
      <c r="F3550" s="6" t="s">
        <v>9330</v>
      </c>
      <c r="G3550" s="6" t="s">
        <v>16</v>
      </c>
      <c r="H3550" s="5">
        <v>3</v>
      </c>
      <c r="I3550" s="6" t="s">
        <v>9331</v>
      </c>
      <c r="J3550" s="5">
        <v>605</v>
      </c>
    </row>
    <row r="3551" s="2" customFormat="1" spans="1:10">
      <c r="A3551" s="6">
        <f>3549</f>
        <v>3549</v>
      </c>
      <c r="B3551" s="6" t="s">
        <v>9332</v>
      </c>
      <c r="C3551" s="6" t="s">
        <v>12</v>
      </c>
      <c r="D3551" s="6" t="s">
        <v>8374</v>
      </c>
      <c r="E3551" s="6" t="s">
        <v>9268</v>
      </c>
      <c r="F3551" s="6" t="s">
        <v>9333</v>
      </c>
      <c r="G3551" s="6" t="s">
        <v>16</v>
      </c>
      <c r="H3551" s="5">
        <v>2</v>
      </c>
      <c r="I3551" s="6" t="s">
        <v>9334</v>
      </c>
      <c r="J3551" s="5">
        <v>754</v>
      </c>
    </row>
    <row r="3552" s="2" customFormat="1" spans="1:10">
      <c r="A3552" s="6">
        <f>3550</f>
        <v>3550</v>
      </c>
      <c r="B3552" s="6" t="s">
        <v>9335</v>
      </c>
      <c r="C3552" s="6" t="s">
        <v>12</v>
      </c>
      <c r="D3552" s="6" t="s">
        <v>8374</v>
      </c>
      <c r="E3552" s="6" t="s">
        <v>9268</v>
      </c>
      <c r="F3552" s="6" t="s">
        <v>9336</v>
      </c>
      <c r="G3552" s="6" t="s">
        <v>16</v>
      </c>
      <c r="H3552" s="5">
        <v>1</v>
      </c>
      <c r="I3552" s="6" t="s">
        <v>9336</v>
      </c>
      <c r="J3552" s="5">
        <v>420</v>
      </c>
    </row>
    <row r="3553" s="2" customFormat="1" spans="1:10">
      <c r="A3553" s="6">
        <f>3551</f>
        <v>3551</v>
      </c>
      <c r="B3553" s="6" t="s">
        <v>9337</v>
      </c>
      <c r="C3553" s="6" t="s">
        <v>12</v>
      </c>
      <c r="D3553" s="6" t="s">
        <v>8374</v>
      </c>
      <c r="E3553" s="6" t="s">
        <v>9268</v>
      </c>
      <c r="F3553" s="6" t="s">
        <v>9338</v>
      </c>
      <c r="G3553" s="6" t="s">
        <v>16</v>
      </c>
      <c r="H3553" s="5">
        <v>2</v>
      </c>
      <c r="I3553" s="6" t="s">
        <v>9339</v>
      </c>
      <c r="J3553" s="5">
        <v>880</v>
      </c>
    </row>
    <row r="3554" s="2" customFormat="1" spans="1:10">
      <c r="A3554" s="6">
        <f>3552</f>
        <v>3552</v>
      </c>
      <c r="B3554" s="6" t="s">
        <v>9340</v>
      </c>
      <c r="C3554" s="6" t="s">
        <v>12</v>
      </c>
      <c r="D3554" s="6" t="s">
        <v>8374</v>
      </c>
      <c r="E3554" s="6" t="s">
        <v>9268</v>
      </c>
      <c r="F3554" s="6" t="s">
        <v>9341</v>
      </c>
      <c r="G3554" s="6" t="s">
        <v>16</v>
      </c>
      <c r="H3554" s="5">
        <v>3</v>
      </c>
      <c r="I3554" s="6" t="s">
        <v>9342</v>
      </c>
      <c r="J3554" s="5">
        <v>660</v>
      </c>
    </row>
    <row r="3555" s="2" customFormat="1" spans="1:10">
      <c r="A3555" s="6">
        <f>3553</f>
        <v>3553</v>
      </c>
      <c r="B3555" s="6" t="s">
        <v>9343</v>
      </c>
      <c r="C3555" s="6" t="s">
        <v>12</v>
      </c>
      <c r="D3555" s="6" t="s">
        <v>9344</v>
      </c>
      <c r="E3555" s="6" t="s">
        <v>9345</v>
      </c>
      <c r="F3555" s="6" t="s">
        <v>9346</v>
      </c>
      <c r="G3555" s="6" t="s">
        <v>16</v>
      </c>
      <c r="H3555" s="5">
        <v>2</v>
      </c>
      <c r="I3555" s="6" t="s">
        <v>9347</v>
      </c>
      <c r="J3555" s="5">
        <v>620</v>
      </c>
    </row>
    <row r="3556" s="2" customFormat="1" spans="1:10">
      <c r="A3556" s="6">
        <f>3554</f>
        <v>3554</v>
      </c>
      <c r="B3556" s="6" t="s">
        <v>9348</v>
      </c>
      <c r="C3556" s="6" t="s">
        <v>12</v>
      </c>
      <c r="D3556" s="6" t="s">
        <v>9344</v>
      </c>
      <c r="E3556" s="6" t="s">
        <v>9345</v>
      </c>
      <c r="F3556" s="6" t="s">
        <v>9349</v>
      </c>
      <c r="G3556" s="6" t="s">
        <v>16</v>
      </c>
      <c r="H3556" s="5">
        <v>2</v>
      </c>
      <c r="I3556" s="6" t="s">
        <v>9350</v>
      </c>
      <c r="J3556" s="5">
        <v>480</v>
      </c>
    </row>
    <row r="3557" s="2" customFormat="1" spans="1:10">
      <c r="A3557" s="6">
        <f>3555</f>
        <v>3555</v>
      </c>
      <c r="B3557" s="6" t="s">
        <v>9351</v>
      </c>
      <c r="C3557" s="6" t="s">
        <v>12</v>
      </c>
      <c r="D3557" s="6" t="s">
        <v>9344</v>
      </c>
      <c r="E3557" s="6" t="s">
        <v>9345</v>
      </c>
      <c r="F3557" s="6" t="s">
        <v>9352</v>
      </c>
      <c r="G3557" s="6" t="s">
        <v>16</v>
      </c>
      <c r="H3557" s="5">
        <v>2</v>
      </c>
      <c r="I3557" s="6" t="s">
        <v>9353</v>
      </c>
      <c r="J3557" s="5">
        <v>920</v>
      </c>
    </row>
    <row r="3558" s="2" customFormat="1" spans="1:10">
      <c r="A3558" s="6">
        <f>3556</f>
        <v>3556</v>
      </c>
      <c r="B3558" s="6" t="s">
        <v>9354</v>
      </c>
      <c r="C3558" s="6" t="s">
        <v>12</v>
      </c>
      <c r="D3558" s="6" t="s">
        <v>9344</v>
      </c>
      <c r="E3558" s="6" t="s">
        <v>9345</v>
      </c>
      <c r="F3558" s="6" t="s">
        <v>9355</v>
      </c>
      <c r="G3558" s="6" t="s">
        <v>16</v>
      </c>
      <c r="H3558" s="5">
        <v>1</v>
      </c>
      <c r="I3558" s="6" t="s">
        <v>9355</v>
      </c>
      <c r="J3558" s="5">
        <v>360</v>
      </c>
    </row>
    <row r="3559" s="2" customFormat="1" spans="1:10">
      <c r="A3559" s="6">
        <f>3557</f>
        <v>3557</v>
      </c>
      <c r="B3559" s="6" t="s">
        <v>9356</v>
      </c>
      <c r="C3559" s="6" t="s">
        <v>12</v>
      </c>
      <c r="D3559" s="6" t="s">
        <v>9344</v>
      </c>
      <c r="E3559" s="6" t="s">
        <v>9345</v>
      </c>
      <c r="F3559" s="6" t="s">
        <v>9357</v>
      </c>
      <c r="G3559" s="6" t="s">
        <v>16</v>
      </c>
      <c r="H3559" s="5">
        <v>1</v>
      </c>
      <c r="I3559" s="6" t="s">
        <v>9357</v>
      </c>
      <c r="J3559" s="5">
        <v>300</v>
      </c>
    </row>
    <row r="3560" s="2" customFormat="1" spans="1:10">
      <c r="A3560" s="6">
        <f>3558</f>
        <v>3558</v>
      </c>
      <c r="B3560" s="6" t="s">
        <v>9358</v>
      </c>
      <c r="C3560" s="6" t="s">
        <v>12</v>
      </c>
      <c r="D3560" s="6" t="s">
        <v>9344</v>
      </c>
      <c r="E3560" s="6" t="s">
        <v>9345</v>
      </c>
      <c r="F3560" s="6" t="s">
        <v>9359</v>
      </c>
      <c r="G3560" s="6" t="s">
        <v>16</v>
      </c>
      <c r="H3560" s="5">
        <v>1</v>
      </c>
      <c r="I3560" s="6" t="s">
        <v>9359</v>
      </c>
      <c r="J3560" s="5">
        <v>460</v>
      </c>
    </row>
    <row r="3561" s="2" customFormat="1" ht="27" spans="1:10">
      <c r="A3561" s="6">
        <f>3559</f>
        <v>3559</v>
      </c>
      <c r="B3561" s="6" t="s">
        <v>9360</v>
      </c>
      <c r="C3561" s="6" t="s">
        <v>12</v>
      </c>
      <c r="D3561" s="6" t="s">
        <v>9344</v>
      </c>
      <c r="E3561" s="6" t="s">
        <v>9345</v>
      </c>
      <c r="F3561" s="6" t="s">
        <v>9361</v>
      </c>
      <c r="G3561" s="6" t="s">
        <v>16</v>
      </c>
      <c r="H3561" s="5">
        <v>6</v>
      </c>
      <c r="I3561" s="6" t="s">
        <v>9362</v>
      </c>
      <c r="J3561" s="5">
        <v>660</v>
      </c>
    </row>
    <row r="3562" s="2" customFormat="1" spans="1:10">
      <c r="A3562" s="6">
        <f>3560</f>
        <v>3560</v>
      </c>
      <c r="B3562" s="6" t="s">
        <v>9363</v>
      </c>
      <c r="C3562" s="6" t="s">
        <v>12</v>
      </c>
      <c r="D3562" s="6" t="s">
        <v>9344</v>
      </c>
      <c r="E3562" s="6" t="s">
        <v>9345</v>
      </c>
      <c r="F3562" s="6" t="s">
        <v>9364</v>
      </c>
      <c r="G3562" s="6" t="s">
        <v>16</v>
      </c>
      <c r="H3562" s="5">
        <v>1</v>
      </c>
      <c r="I3562" s="6" t="s">
        <v>9364</v>
      </c>
      <c r="J3562" s="5">
        <v>278</v>
      </c>
    </row>
    <row r="3563" s="2" customFormat="1" spans="1:10">
      <c r="A3563" s="6">
        <f>3561</f>
        <v>3561</v>
      </c>
      <c r="B3563" s="6" t="s">
        <v>9365</v>
      </c>
      <c r="C3563" s="6" t="s">
        <v>12</v>
      </c>
      <c r="D3563" s="6" t="s">
        <v>9344</v>
      </c>
      <c r="E3563" s="6" t="s">
        <v>9345</v>
      </c>
      <c r="F3563" s="6" t="s">
        <v>9366</v>
      </c>
      <c r="G3563" s="6" t="s">
        <v>16</v>
      </c>
      <c r="H3563" s="5">
        <v>1</v>
      </c>
      <c r="I3563" s="6" t="s">
        <v>9366</v>
      </c>
      <c r="J3563" s="5">
        <v>620</v>
      </c>
    </row>
    <row r="3564" s="2" customFormat="1" ht="27" spans="1:10">
      <c r="A3564" s="6">
        <f>3562</f>
        <v>3562</v>
      </c>
      <c r="B3564" s="6" t="s">
        <v>9367</v>
      </c>
      <c r="C3564" s="6" t="s">
        <v>12</v>
      </c>
      <c r="D3564" s="6" t="s">
        <v>9344</v>
      </c>
      <c r="E3564" s="6" t="s">
        <v>9345</v>
      </c>
      <c r="F3564" s="6" t="s">
        <v>9368</v>
      </c>
      <c r="G3564" s="6" t="s">
        <v>16</v>
      </c>
      <c r="H3564" s="5">
        <v>4</v>
      </c>
      <c r="I3564" s="6" t="s">
        <v>9369</v>
      </c>
      <c r="J3564" s="5">
        <v>1088</v>
      </c>
    </row>
    <row r="3565" s="2" customFormat="1" spans="1:10">
      <c r="A3565" s="6">
        <f>3563</f>
        <v>3563</v>
      </c>
      <c r="B3565" s="6" t="s">
        <v>9370</v>
      </c>
      <c r="C3565" s="6" t="s">
        <v>12</v>
      </c>
      <c r="D3565" s="6" t="s">
        <v>9344</v>
      </c>
      <c r="E3565" s="6" t="s">
        <v>9345</v>
      </c>
      <c r="F3565" s="6" t="s">
        <v>9371</v>
      </c>
      <c r="G3565" s="6" t="s">
        <v>16</v>
      </c>
      <c r="H3565" s="5">
        <v>1</v>
      </c>
      <c r="I3565" s="6" t="s">
        <v>9371</v>
      </c>
      <c r="J3565" s="5">
        <v>300</v>
      </c>
    </row>
    <row r="3566" s="2" customFormat="1" spans="1:10">
      <c r="A3566" s="6">
        <f>3564</f>
        <v>3564</v>
      </c>
      <c r="B3566" s="6" t="s">
        <v>9372</v>
      </c>
      <c r="C3566" s="6" t="s">
        <v>12</v>
      </c>
      <c r="D3566" s="6" t="s">
        <v>9344</v>
      </c>
      <c r="E3566" s="6" t="s">
        <v>9345</v>
      </c>
      <c r="F3566" s="6" t="s">
        <v>9373</v>
      </c>
      <c r="G3566" s="6" t="s">
        <v>16</v>
      </c>
      <c r="H3566" s="5">
        <v>3</v>
      </c>
      <c r="I3566" s="6" t="s">
        <v>9374</v>
      </c>
      <c r="J3566" s="5">
        <v>970</v>
      </c>
    </row>
    <row r="3567" s="2" customFormat="1" spans="1:10">
      <c r="A3567" s="6">
        <f>3565</f>
        <v>3565</v>
      </c>
      <c r="B3567" s="6" t="s">
        <v>9375</v>
      </c>
      <c r="C3567" s="6" t="s">
        <v>12</v>
      </c>
      <c r="D3567" s="6" t="s">
        <v>9344</v>
      </c>
      <c r="E3567" s="6" t="s">
        <v>9345</v>
      </c>
      <c r="F3567" s="6" t="s">
        <v>9376</v>
      </c>
      <c r="G3567" s="6" t="s">
        <v>16</v>
      </c>
      <c r="H3567" s="5">
        <v>3</v>
      </c>
      <c r="I3567" s="6" t="s">
        <v>9377</v>
      </c>
      <c r="J3567" s="5">
        <v>766</v>
      </c>
    </row>
    <row r="3568" s="2" customFormat="1" spans="1:10">
      <c r="A3568" s="6">
        <f>3566</f>
        <v>3566</v>
      </c>
      <c r="B3568" s="6" t="s">
        <v>9378</v>
      </c>
      <c r="C3568" s="6" t="s">
        <v>12</v>
      </c>
      <c r="D3568" s="6" t="s">
        <v>9344</v>
      </c>
      <c r="E3568" s="6" t="s">
        <v>9345</v>
      </c>
      <c r="F3568" s="6" t="s">
        <v>9379</v>
      </c>
      <c r="G3568" s="6" t="s">
        <v>16</v>
      </c>
      <c r="H3568" s="5">
        <v>3</v>
      </c>
      <c r="I3568" s="6" t="s">
        <v>9380</v>
      </c>
      <c r="J3568" s="5">
        <v>870</v>
      </c>
    </row>
    <row r="3569" s="2" customFormat="1" spans="1:10">
      <c r="A3569" s="6">
        <f>3567</f>
        <v>3567</v>
      </c>
      <c r="B3569" s="6" t="s">
        <v>9381</v>
      </c>
      <c r="C3569" s="6" t="s">
        <v>12</v>
      </c>
      <c r="D3569" s="6" t="s">
        <v>9344</v>
      </c>
      <c r="E3569" s="6" t="s">
        <v>9345</v>
      </c>
      <c r="F3569" s="6" t="s">
        <v>9382</v>
      </c>
      <c r="G3569" s="6" t="s">
        <v>16</v>
      </c>
      <c r="H3569" s="5">
        <v>1</v>
      </c>
      <c r="I3569" s="6" t="s">
        <v>9382</v>
      </c>
      <c r="J3569" s="5">
        <v>355</v>
      </c>
    </row>
    <row r="3570" s="2" customFormat="1" ht="27" spans="1:10">
      <c r="A3570" s="6">
        <f>3568</f>
        <v>3568</v>
      </c>
      <c r="B3570" s="6" t="s">
        <v>9383</v>
      </c>
      <c r="C3570" s="6" t="s">
        <v>12</v>
      </c>
      <c r="D3570" s="6" t="s">
        <v>9344</v>
      </c>
      <c r="E3570" s="6" t="s">
        <v>9345</v>
      </c>
      <c r="F3570" s="6" t="s">
        <v>9384</v>
      </c>
      <c r="G3570" s="6" t="s">
        <v>16</v>
      </c>
      <c r="H3570" s="5">
        <v>4</v>
      </c>
      <c r="I3570" s="6" t="s">
        <v>9385</v>
      </c>
      <c r="J3570" s="5">
        <v>630</v>
      </c>
    </row>
    <row r="3571" s="2" customFormat="1" spans="1:10">
      <c r="A3571" s="6">
        <f>3569</f>
        <v>3569</v>
      </c>
      <c r="B3571" s="6" t="s">
        <v>9386</v>
      </c>
      <c r="C3571" s="6" t="s">
        <v>12</v>
      </c>
      <c r="D3571" s="6" t="s">
        <v>9344</v>
      </c>
      <c r="E3571" s="6" t="s">
        <v>9345</v>
      </c>
      <c r="F3571" s="6" t="s">
        <v>9387</v>
      </c>
      <c r="G3571" s="6" t="s">
        <v>16</v>
      </c>
      <c r="H3571" s="5">
        <v>2</v>
      </c>
      <c r="I3571" s="6" t="s">
        <v>9388</v>
      </c>
      <c r="J3571" s="5">
        <v>540</v>
      </c>
    </row>
    <row r="3572" s="2" customFormat="1" spans="1:10">
      <c r="A3572" s="6">
        <f>3570</f>
        <v>3570</v>
      </c>
      <c r="B3572" s="6" t="s">
        <v>9389</v>
      </c>
      <c r="C3572" s="6" t="s">
        <v>12</v>
      </c>
      <c r="D3572" s="6" t="s">
        <v>9344</v>
      </c>
      <c r="E3572" s="6" t="s">
        <v>9345</v>
      </c>
      <c r="F3572" s="6" t="s">
        <v>9390</v>
      </c>
      <c r="G3572" s="6" t="s">
        <v>16</v>
      </c>
      <c r="H3572" s="5">
        <v>2</v>
      </c>
      <c r="I3572" s="6" t="s">
        <v>9391</v>
      </c>
      <c r="J3572" s="5">
        <v>520</v>
      </c>
    </row>
    <row r="3573" s="2" customFormat="1" spans="1:10">
      <c r="A3573" s="6">
        <f>3571</f>
        <v>3571</v>
      </c>
      <c r="B3573" s="6" t="s">
        <v>9392</v>
      </c>
      <c r="C3573" s="6" t="s">
        <v>12</v>
      </c>
      <c r="D3573" s="6" t="s">
        <v>9344</v>
      </c>
      <c r="E3573" s="6" t="s">
        <v>9345</v>
      </c>
      <c r="F3573" s="6" t="s">
        <v>9393</v>
      </c>
      <c r="G3573" s="6" t="s">
        <v>16</v>
      </c>
      <c r="H3573" s="5">
        <v>1</v>
      </c>
      <c r="I3573" s="6" t="s">
        <v>9393</v>
      </c>
      <c r="J3573" s="5">
        <v>245</v>
      </c>
    </row>
    <row r="3574" s="2" customFormat="1" spans="1:10">
      <c r="A3574" s="6">
        <f>3572</f>
        <v>3572</v>
      </c>
      <c r="B3574" s="6" t="s">
        <v>9394</v>
      </c>
      <c r="C3574" s="6" t="s">
        <v>12</v>
      </c>
      <c r="D3574" s="6" t="s">
        <v>9344</v>
      </c>
      <c r="E3574" s="6" t="s">
        <v>9345</v>
      </c>
      <c r="F3574" s="6" t="s">
        <v>9395</v>
      </c>
      <c r="G3574" s="6" t="s">
        <v>16</v>
      </c>
      <c r="H3574" s="5">
        <v>3</v>
      </c>
      <c r="I3574" s="6" t="s">
        <v>9396</v>
      </c>
      <c r="J3574" s="5">
        <v>800</v>
      </c>
    </row>
    <row r="3575" s="2" customFormat="1" ht="27" spans="1:10">
      <c r="A3575" s="6">
        <f>3573</f>
        <v>3573</v>
      </c>
      <c r="B3575" s="6" t="s">
        <v>9397</v>
      </c>
      <c r="C3575" s="6" t="s">
        <v>12</v>
      </c>
      <c r="D3575" s="6" t="s">
        <v>9344</v>
      </c>
      <c r="E3575" s="6" t="s">
        <v>9345</v>
      </c>
      <c r="F3575" s="6" t="s">
        <v>9398</v>
      </c>
      <c r="G3575" s="6" t="s">
        <v>16</v>
      </c>
      <c r="H3575" s="5">
        <v>4</v>
      </c>
      <c r="I3575" s="6" t="s">
        <v>9399</v>
      </c>
      <c r="J3575" s="5">
        <v>428</v>
      </c>
    </row>
    <row r="3576" s="2" customFormat="1" ht="27" spans="1:10">
      <c r="A3576" s="6">
        <f>3574</f>
        <v>3574</v>
      </c>
      <c r="B3576" s="6" t="s">
        <v>9400</v>
      </c>
      <c r="C3576" s="6" t="s">
        <v>12</v>
      </c>
      <c r="D3576" s="6" t="s">
        <v>9344</v>
      </c>
      <c r="E3576" s="6" t="s">
        <v>9345</v>
      </c>
      <c r="F3576" s="6" t="s">
        <v>9401</v>
      </c>
      <c r="G3576" s="6" t="s">
        <v>16</v>
      </c>
      <c r="H3576" s="5">
        <v>5</v>
      </c>
      <c r="I3576" s="6" t="s">
        <v>9402</v>
      </c>
      <c r="J3576" s="5">
        <v>1280</v>
      </c>
    </row>
    <row r="3577" s="2" customFormat="1" spans="1:10">
      <c r="A3577" s="6">
        <f>3575</f>
        <v>3575</v>
      </c>
      <c r="B3577" s="6" t="s">
        <v>9403</v>
      </c>
      <c r="C3577" s="6" t="s">
        <v>12</v>
      </c>
      <c r="D3577" s="6" t="s">
        <v>9344</v>
      </c>
      <c r="E3577" s="6" t="s">
        <v>9345</v>
      </c>
      <c r="F3577" s="6" t="s">
        <v>9404</v>
      </c>
      <c r="G3577" s="6" t="s">
        <v>16</v>
      </c>
      <c r="H3577" s="5">
        <v>3</v>
      </c>
      <c r="I3577" s="6" t="s">
        <v>9405</v>
      </c>
      <c r="J3577" s="5">
        <v>980</v>
      </c>
    </row>
    <row r="3578" s="2" customFormat="1" spans="1:10">
      <c r="A3578" s="6">
        <f>3576</f>
        <v>3576</v>
      </c>
      <c r="B3578" s="6" t="s">
        <v>9406</v>
      </c>
      <c r="C3578" s="6" t="s">
        <v>12</v>
      </c>
      <c r="D3578" s="6" t="s">
        <v>9344</v>
      </c>
      <c r="E3578" s="6" t="s">
        <v>9345</v>
      </c>
      <c r="F3578" s="6" t="s">
        <v>9407</v>
      </c>
      <c r="G3578" s="6" t="s">
        <v>16</v>
      </c>
      <c r="H3578" s="5">
        <v>1</v>
      </c>
      <c r="I3578" s="6" t="s">
        <v>9407</v>
      </c>
      <c r="J3578" s="5">
        <v>245</v>
      </c>
    </row>
    <row r="3579" s="2" customFormat="1" spans="1:10">
      <c r="A3579" s="6">
        <f>3577</f>
        <v>3577</v>
      </c>
      <c r="B3579" s="6" t="s">
        <v>9408</v>
      </c>
      <c r="C3579" s="6" t="s">
        <v>12</v>
      </c>
      <c r="D3579" s="6" t="s">
        <v>9344</v>
      </c>
      <c r="E3579" s="6" t="s">
        <v>9345</v>
      </c>
      <c r="F3579" s="6" t="s">
        <v>9409</v>
      </c>
      <c r="G3579" s="6" t="s">
        <v>16</v>
      </c>
      <c r="H3579" s="5">
        <v>2</v>
      </c>
      <c r="I3579" s="6" t="s">
        <v>9410</v>
      </c>
      <c r="J3579" s="5">
        <v>490</v>
      </c>
    </row>
    <row r="3580" s="2" customFormat="1" spans="1:10">
      <c r="A3580" s="6">
        <f>3578</f>
        <v>3578</v>
      </c>
      <c r="B3580" s="6" t="s">
        <v>9411</v>
      </c>
      <c r="C3580" s="6" t="s">
        <v>12</v>
      </c>
      <c r="D3580" s="6" t="s">
        <v>9344</v>
      </c>
      <c r="E3580" s="6" t="s">
        <v>9345</v>
      </c>
      <c r="F3580" s="6" t="s">
        <v>9412</v>
      </c>
      <c r="G3580" s="6" t="s">
        <v>16</v>
      </c>
      <c r="H3580" s="5">
        <v>2</v>
      </c>
      <c r="I3580" s="6" t="s">
        <v>9413</v>
      </c>
      <c r="J3580" s="5">
        <v>510</v>
      </c>
    </row>
    <row r="3581" s="2" customFormat="1" spans="1:10">
      <c r="A3581" s="6">
        <f>3579</f>
        <v>3579</v>
      </c>
      <c r="B3581" s="6" t="s">
        <v>9414</v>
      </c>
      <c r="C3581" s="6" t="s">
        <v>12</v>
      </c>
      <c r="D3581" s="6" t="s">
        <v>9344</v>
      </c>
      <c r="E3581" s="6" t="s">
        <v>9345</v>
      </c>
      <c r="F3581" s="6" t="s">
        <v>9415</v>
      </c>
      <c r="G3581" s="6" t="s">
        <v>16</v>
      </c>
      <c r="H3581" s="5">
        <v>1</v>
      </c>
      <c r="I3581" s="6" t="s">
        <v>9415</v>
      </c>
      <c r="J3581" s="5">
        <v>373</v>
      </c>
    </row>
    <row r="3582" s="2" customFormat="1" spans="1:10">
      <c r="A3582" s="6">
        <f>3580</f>
        <v>3580</v>
      </c>
      <c r="B3582" s="6" t="s">
        <v>9416</v>
      </c>
      <c r="C3582" s="6" t="s">
        <v>12</v>
      </c>
      <c r="D3582" s="6" t="s">
        <v>9344</v>
      </c>
      <c r="E3582" s="6" t="s">
        <v>9345</v>
      </c>
      <c r="F3582" s="6" t="s">
        <v>9417</v>
      </c>
      <c r="G3582" s="6" t="s">
        <v>16</v>
      </c>
      <c r="H3582" s="5">
        <v>3</v>
      </c>
      <c r="I3582" s="6" t="s">
        <v>9418</v>
      </c>
      <c r="J3582" s="5">
        <v>1060</v>
      </c>
    </row>
    <row r="3583" s="2" customFormat="1" spans="1:10">
      <c r="A3583" s="6">
        <f>3581</f>
        <v>3581</v>
      </c>
      <c r="B3583" s="6" t="s">
        <v>9419</v>
      </c>
      <c r="C3583" s="6" t="s">
        <v>12</v>
      </c>
      <c r="D3583" s="6" t="s">
        <v>9344</v>
      </c>
      <c r="E3583" s="6" t="s">
        <v>9345</v>
      </c>
      <c r="F3583" s="6" t="s">
        <v>9420</v>
      </c>
      <c r="G3583" s="6" t="s">
        <v>16</v>
      </c>
      <c r="H3583" s="5">
        <v>1</v>
      </c>
      <c r="I3583" s="6" t="s">
        <v>9420</v>
      </c>
      <c r="J3583" s="5">
        <v>380</v>
      </c>
    </row>
    <row r="3584" s="2" customFormat="1" spans="1:10">
      <c r="A3584" s="6">
        <f>3582</f>
        <v>3582</v>
      </c>
      <c r="B3584" s="6" t="s">
        <v>9421</v>
      </c>
      <c r="C3584" s="6" t="s">
        <v>12</v>
      </c>
      <c r="D3584" s="6" t="s">
        <v>9344</v>
      </c>
      <c r="E3584" s="6" t="s">
        <v>9345</v>
      </c>
      <c r="F3584" s="6" t="s">
        <v>9422</v>
      </c>
      <c r="G3584" s="6" t="s">
        <v>16</v>
      </c>
      <c r="H3584" s="5">
        <v>1</v>
      </c>
      <c r="I3584" s="6" t="s">
        <v>9422</v>
      </c>
      <c r="J3584" s="5">
        <v>245</v>
      </c>
    </row>
    <row r="3585" s="2" customFormat="1" spans="1:10">
      <c r="A3585" s="6">
        <f>3583</f>
        <v>3583</v>
      </c>
      <c r="B3585" s="6" t="s">
        <v>9423</v>
      </c>
      <c r="C3585" s="6" t="s">
        <v>12</v>
      </c>
      <c r="D3585" s="6" t="s">
        <v>9344</v>
      </c>
      <c r="E3585" s="6" t="s">
        <v>9345</v>
      </c>
      <c r="F3585" s="6" t="s">
        <v>9424</v>
      </c>
      <c r="G3585" s="6" t="s">
        <v>16</v>
      </c>
      <c r="H3585" s="5">
        <v>1</v>
      </c>
      <c r="I3585" s="6" t="s">
        <v>9424</v>
      </c>
      <c r="J3585" s="5">
        <v>420</v>
      </c>
    </row>
    <row r="3586" s="2" customFormat="1" spans="1:10">
      <c r="A3586" s="6">
        <f>3584</f>
        <v>3584</v>
      </c>
      <c r="B3586" s="6" t="s">
        <v>9425</v>
      </c>
      <c r="C3586" s="6" t="s">
        <v>12</v>
      </c>
      <c r="D3586" s="6" t="s">
        <v>9344</v>
      </c>
      <c r="E3586" s="6" t="s">
        <v>9345</v>
      </c>
      <c r="F3586" s="6" t="s">
        <v>9426</v>
      </c>
      <c r="G3586" s="6" t="s">
        <v>16</v>
      </c>
      <c r="H3586" s="5">
        <v>1</v>
      </c>
      <c r="I3586" s="6" t="s">
        <v>9426</v>
      </c>
      <c r="J3586" s="5">
        <v>248</v>
      </c>
    </row>
    <row r="3587" s="2" customFormat="1" spans="1:10">
      <c r="A3587" s="6">
        <f>3585</f>
        <v>3585</v>
      </c>
      <c r="B3587" s="6" t="s">
        <v>9427</v>
      </c>
      <c r="C3587" s="6" t="s">
        <v>12</v>
      </c>
      <c r="D3587" s="6" t="s">
        <v>9344</v>
      </c>
      <c r="E3587" s="6" t="s">
        <v>9345</v>
      </c>
      <c r="F3587" s="6" t="s">
        <v>9428</v>
      </c>
      <c r="G3587" s="6" t="s">
        <v>16</v>
      </c>
      <c r="H3587" s="5">
        <v>1</v>
      </c>
      <c r="I3587" s="6" t="s">
        <v>9428</v>
      </c>
      <c r="J3587" s="5">
        <v>400</v>
      </c>
    </row>
    <row r="3588" s="2" customFormat="1" ht="27" spans="1:10">
      <c r="A3588" s="6">
        <f>3586</f>
        <v>3586</v>
      </c>
      <c r="B3588" s="6" t="s">
        <v>9429</v>
      </c>
      <c r="C3588" s="6" t="s">
        <v>12</v>
      </c>
      <c r="D3588" s="6" t="s">
        <v>9344</v>
      </c>
      <c r="E3588" s="6" t="s">
        <v>9345</v>
      </c>
      <c r="F3588" s="6" t="s">
        <v>9430</v>
      </c>
      <c r="G3588" s="6" t="s">
        <v>16</v>
      </c>
      <c r="H3588" s="5">
        <v>4</v>
      </c>
      <c r="I3588" s="6" t="s">
        <v>9431</v>
      </c>
      <c r="J3588" s="5">
        <v>820</v>
      </c>
    </row>
    <row r="3589" s="2" customFormat="1" spans="1:10">
      <c r="A3589" s="6">
        <f>3587</f>
        <v>3587</v>
      </c>
      <c r="B3589" s="6" t="s">
        <v>9432</v>
      </c>
      <c r="C3589" s="6" t="s">
        <v>12</v>
      </c>
      <c r="D3589" s="6" t="s">
        <v>9344</v>
      </c>
      <c r="E3589" s="6" t="s">
        <v>9345</v>
      </c>
      <c r="F3589" s="6" t="s">
        <v>9433</v>
      </c>
      <c r="G3589" s="6" t="s">
        <v>16</v>
      </c>
      <c r="H3589" s="5">
        <v>1</v>
      </c>
      <c r="I3589" s="6" t="s">
        <v>9433</v>
      </c>
      <c r="J3589" s="5">
        <v>280</v>
      </c>
    </row>
    <row r="3590" s="2" customFormat="1" spans="1:10">
      <c r="A3590" s="6">
        <f>3588</f>
        <v>3588</v>
      </c>
      <c r="B3590" s="6" t="s">
        <v>9434</v>
      </c>
      <c r="C3590" s="6" t="s">
        <v>12</v>
      </c>
      <c r="D3590" s="6" t="s">
        <v>9344</v>
      </c>
      <c r="E3590" s="6" t="s">
        <v>9345</v>
      </c>
      <c r="F3590" s="6" t="s">
        <v>9435</v>
      </c>
      <c r="G3590" s="6" t="s">
        <v>16</v>
      </c>
      <c r="H3590" s="5">
        <v>2</v>
      </c>
      <c r="I3590" s="6" t="s">
        <v>9436</v>
      </c>
      <c r="J3590" s="5">
        <v>630</v>
      </c>
    </row>
    <row r="3591" s="2" customFormat="1" spans="1:10">
      <c r="A3591" s="6">
        <f>3589</f>
        <v>3589</v>
      </c>
      <c r="B3591" s="6" t="s">
        <v>9437</v>
      </c>
      <c r="C3591" s="6" t="s">
        <v>12</v>
      </c>
      <c r="D3591" s="6" t="s">
        <v>9344</v>
      </c>
      <c r="E3591" s="6" t="s">
        <v>9345</v>
      </c>
      <c r="F3591" s="6" t="s">
        <v>9438</v>
      </c>
      <c r="G3591" s="6" t="s">
        <v>16</v>
      </c>
      <c r="H3591" s="5">
        <v>1</v>
      </c>
      <c r="I3591" s="6" t="s">
        <v>9438</v>
      </c>
      <c r="J3591" s="5">
        <v>245</v>
      </c>
    </row>
    <row r="3592" s="2" customFormat="1" spans="1:10">
      <c r="A3592" s="6">
        <f>3590</f>
        <v>3590</v>
      </c>
      <c r="B3592" s="6" t="s">
        <v>9439</v>
      </c>
      <c r="C3592" s="6" t="s">
        <v>12</v>
      </c>
      <c r="D3592" s="6" t="s">
        <v>9344</v>
      </c>
      <c r="E3592" s="6" t="s">
        <v>9345</v>
      </c>
      <c r="F3592" s="6" t="s">
        <v>9440</v>
      </c>
      <c r="G3592" s="6" t="s">
        <v>16</v>
      </c>
      <c r="H3592" s="5">
        <v>1</v>
      </c>
      <c r="I3592" s="6" t="s">
        <v>9440</v>
      </c>
      <c r="J3592" s="5">
        <v>245</v>
      </c>
    </row>
    <row r="3593" s="2" customFormat="1" ht="27" spans="1:10">
      <c r="A3593" s="6">
        <f>3591</f>
        <v>3591</v>
      </c>
      <c r="B3593" s="6" t="s">
        <v>9441</v>
      </c>
      <c r="C3593" s="6" t="s">
        <v>12</v>
      </c>
      <c r="D3593" s="6" t="s">
        <v>9344</v>
      </c>
      <c r="E3593" s="6" t="s">
        <v>9345</v>
      </c>
      <c r="F3593" s="6" t="s">
        <v>9442</v>
      </c>
      <c r="G3593" s="6" t="s">
        <v>16</v>
      </c>
      <c r="H3593" s="5">
        <v>5</v>
      </c>
      <c r="I3593" s="6" t="s">
        <v>9443</v>
      </c>
      <c r="J3593" s="5">
        <v>850</v>
      </c>
    </row>
    <row r="3594" s="2" customFormat="1" spans="1:10">
      <c r="A3594" s="6">
        <f>3592</f>
        <v>3592</v>
      </c>
      <c r="B3594" s="6" t="s">
        <v>9444</v>
      </c>
      <c r="C3594" s="6" t="s">
        <v>12</v>
      </c>
      <c r="D3594" s="6" t="s">
        <v>9344</v>
      </c>
      <c r="E3594" s="6" t="s">
        <v>9345</v>
      </c>
      <c r="F3594" s="6" t="s">
        <v>9445</v>
      </c>
      <c r="G3594" s="6" t="s">
        <v>16</v>
      </c>
      <c r="H3594" s="5">
        <v>1</v>
      </c>
      <c r="I3594" s="6" t="s">
        <v>9445</v>
      </c>
      <c r="J3594" s="5">
        <v>245</v>
      </c>
    </row>
    <row r="3595" s="2" customFormat="1" spans="1:10">
      <c r="A3595" s="6">
        <f>3593</f>
        <v>3593</v>
      </c>
      <c r="B3595" s="6" t="s">
        <v>9446</v>
      </c>
      <c r="C3595" s="6" t="s">
        <v>12</v>
      </c>
      <c r="D3595" s="6" t="s">
        <v>9344</v>
      </c>
      <c r="E3595" s="6" t="s">
        <v>9345</v>
      </c>
      <c r="F3595" s="6" t="s">
        <v>9447</v>
      </c>
      <c r="G3595" s="6" t="s">
        <v>16</v>
      </c>
      <c r="H3595" s="5">
        <v>2</v>
      </c>
      <c r="I3595" s="6" t="s">
        <v>9448</v>
      </c>
      <c r="J3595" s="5">
        <v>920</v>
      </c>
    </row>
    <row r="3596" s="2" customFormat="1" spans="1:10">
      <c r="A3596" s="6">
        <f>3594</f>
        <v>3594</v>
      </c>
      <c r="B3596" s="6" t="s">
        <v>9449</v>
      </c>
      <c r="C3596" s="6" t="s">
        <v>12</v>
      </c>
      <c r="D3596" s="6" t="s">
        <v>9344</v>
      </c>
      <c r="E3596" s="6" t="s">
        <v>9450</v>
      </c>
      <c r="F3596" s="6" t="s">
        <v>9451</v>
      </c>
      <c r="G3596" s="6" t="s">
        <v>16</v>
      </c>
      <c r="H3596" s="5">
        <v>2</v>
      </c>
      <c r="I3596" s="6" t="s">
        <v>9452</v>
      </c>
      <c r="J3596" s="5">
        <v>500</v>
      </c>
    </row>
    <row r="3597" s="2" customFormat="1" spans="1:10">
      <c r="A3597" s="6">
        <f>3595</f>
        <v>3595</v>
      </c>
      <c r="B3597" s="6" t="s">
        <v>9453</v>
      </c>
      <c r="C3597" s="6" t="s">
        <v>12</v>
      </c>
      <c r="D3597" s="6" t="s">
        <v>9344</v>
      </c>
      <c r="E3597" s="6" t="s">
        <v>9450</v>
      </c>
      <c r="F3597" s="6" t="s">
        <v>9454</v>
      </c>
      <c r="G3597" s="6" t="s">
        <v>16</v>
      </c>
      <c r="H3597" s="5">
        <v>2</v>
      </c>
      <c r="I3597" s="6" t="s">
        <v>9455</v>
      </c>
      <c r="J3597" s="5">
        <v>480</v>
      </c>
    </row>
    <row r="3598" s="2" customFormat="1" spans="1:10">
      <c r="A3598" s="6">
        <f>3596</f>
        <v>3596</v>
      </c>
      <c r="B3598" s="6" t="s">
        <v>9456</v>
      </c>
      <c r="C3598" s="6" t="s">
        <v>12</v>
      </c>
      <c r="D3598" s="6" t="s">
        <v>9344</v>
      </c>
      <c r="E3598" s="6" t="s">
        <v>9450</v>
      </c>
      <c r="F3598" s="6" t="s">
        <v>9457</v>
      </c>
      <c r="G3598" s="6" t="s">
        <v>16</v>
      </c>
      <c r="H3598" s="5">
        <v>3</v>
      </c>
      <c r="I3598" s="6" t="s">
        <v>9458</v>
      </c>
      <c r="J3598" s="5">
        <v>920</v>
      </c>
    </row>
    <row r="3599" s="2" customFormat="1" spans="1:10">
      <c r="A3599" s="6">
        <f>3597</f>
        <v>3597</v>
      </c>
      <c r="B3599" s="6" t="s">
        <v>9459</v>
      </c>
      <c r="C3599" s="6" t="s">
        <v>12</v>
      </c>
      <c r="D3599" s="6" t="s">
        <v>9344</v>
      </c>
      <c r="E3599" s="6" t="s">
        <v>9450</v>
      </c>
      <c r="F3599" s="6" t="s">
        <v>9460</v>
      </c>
      <c r="G3599" s="6" t="s">
        <v>16</v>
      </c>
      <c r="H3599" s="5">
        <v>3</v>
      </c>
      <c r="I3599" s="6" t="s">
        <v>9461</v>
      </c>
      <c r="J3599" s="5">
        <v>1000</v>
      </c>
    </row>
    <row r="3600" s="2" customFormat="1" spans="1:10">
      <c r="A3600" s="6">
        <f>3598</f>
        <v>3598</v>
      </c>
      <c r="B3600" s="6" t="s">
        <v>9462</v>
      </c>
      <c r="C3600" s="6" t="s">
        <v>12</v>
      </c>
      <c r="D3600" s="6" t="s">
        <v>9344</v>
      </c>
      <c r="E3600" s="6" t="s">
        <v>9450</v>
      </c>
      <c r="F3600" s="6" t="s">
        <v>9463</v>
      </c>
      <c r="G3600" s="6" t="s">
        <v>16</v>
      </c>
      <c r="H3600" s="5">
        <v>2</v>
      </c>
      <c r="I3600" s="6" t="s">
        <v>9464</v>
      </c>
      <c r="J3600" s="5">
        <v>1240</v>
      </c>
    </row>
    <row r="3601" s="2" customFormat="1" spans="1:10">
      <c r="A3601" s="6">
        <f>3599</f>
        <v>3599</v>
      </c>
      <c r="B3601" s="6" t="s">
        <v>9465</v>
      </c>
      <c r="C3601" s="6" t="s">
        <v>12</v>
      </c>
      <c r="D3601" s="6" t="s">
        <v>9344</v>
      </c>
      <c r="E3601" s="6" t="s">
        <v>9450</v>
      </c>
      <c r="F3601" s="6" t="s">
        <v>9466</v>
      </c>
      <c r="G3601" s="6" t="s">
        <v>16</v>
      </c>
      <c r="H3601" s="5">
        <v>1</v>
      </c>
      <c r="I3601" s="6" t="s">
        <v>9466</v>
      </c>
      <c r="J3601" s="5">
        <v>340</v>
      </c>
    </row>
    <row r="3602" s="2" customFormat="1" spans="1:10">
      <c r="A3602" s="6">
        <f>3600</f>
        <v>3600</v>
      </c>
      <c r="B3602" s="6" t="s">
        <v>9467</v>
      </c>
      <c r="C3602" s="6" t="s">
        <v>12</v>
      </c>
      <c r="D3602" s="6" t="s">
        <v>9344</v>
      </c>
      <c r="E3602" s="6" t="s">
        <v>9450</v>
      </c>
      <c r="F3602" s="6" t="s">
        <v>9468</v>
      </c>
      <c r="G3602" s="6" t="s">
        <v>16</v>
      </c>
      <c r="H3602" s="5">
        <v>1</v>
      </c>
      <c r="I3602" s="6" t="s">
        <v>9468</v>
      </c>
      <c r="J3602" s="5">
        <v>245</v>
      </c>
    </row>
    <row r="3603" s="2" customFormat="1" spans="1:10">
      <c r="A3603" s="6">
        <f>3601</f>
        <v>3601</v>
      </c>
      <c r="B3603" s="6" t="s">
        <v>9469</v>
      </c>
      <c r="C3603" s="6" t="s">
        <v>12</v>
      </c>
      <c r="D3603" s="6" t="s">
        <v>9344</v>
      </c>
      <c r="E3603" s="6" t="s">
        <v>9450</v>
      </c>
      <c r="F3603" s="6" t="s">
        <v>9470</v>
      </c>
      <c r="G3603" s="6" t="s">
        <v>16</v>
      </c>
      <c r="H3603" s="5">
        <v>1</v>
      </c>
      <c r="I3603" s="6" t="s">
        <v>9470</v>
      </c>
      <c r="J3603" s="5">
        <v>380</v>
      </c>
    </row>
    <row r="3604" s="2" customFormat="1" spans="1:10">
      <c r="A3604" s="6">
        <f>3602</f>
        <v>3602</v>
      </c>
      <c r="B3604" s="6" t="s">
        <v>9471</v>
      </c>
      <c r="C3604" s="6" t="s">
        <v>12</v>
      </c>
      <c r="D3604" s="6" t="s">
        <v>9344</v>
      </c>
      <c r="E3604" s="6" t="s">
        <v>9450</v>
      </c>
      <c r="F3604" s="6" t="s">
        <v>9472</v>
      </c>
      <c r="G3604" s="6" t="s">
        <v>16</v>
      </c>
      <c r="H3604" s="5">
        <v>1</v>
      </c>
      <c r="I3604" s="6" t="s">
        <v>9472</v>
      </c>
      <c r="J3604" s="5">
        <v>260</v>
      </c>
    </row>
    <row r="3605" s="2" customFormat="1" spans="1:10">
      <c r="A3605" s="6">
        <f>3603</f>
        <v>3603</v>
      </c>
      <c r="B3605" s="6" t="s">
        <v>9473</v>
      </c>
      <c r="C3605" s="6" t="s">
        <v>12</v>
      </c>
      <c r="D3605" s="6" t="s">
        <v>9344</v>
      </c>
      <c r="E3605" s="6" t="s">
        <v>9450</v>
      </c>
      <c r="F3605" s="6" t="s">
        <v>9474</v>
      </c>
      <c r="G3605" s="6" t="s">
        <v>16</v>
      </c>
      <c r="H3605" s="5">
        <v>2</v>
      </c>
      <c r="I3605" s="6" t="s">
        <v>9475</v>
      </c>
      <c r="J3605" s="5">
        <v>394</v>
      </c>
    </row>
    <row r="3606" s="2" customFormat="1" ht="27" spans="1:10">
      <c r="A3606" s="6">
        <f>3604</f>
        <v>3604</v>
      </c>
      <c r="B3606" s="6" t="s">
        <v>9476</v>
      </c>
      <c r="C3606" s="6" t="s">
        <v>12</v>
      </c>
      <c r="D3606" s="6" t="s">
        <v>9344</v>
      </c>
      <c r="E3606" s="6" t="s">
        <v>9450</v>
      </c>
      <c r="F3606" s="6" t="s">
        <v>9477</v>
      </c>
      <c r="G3606" s="6" t="s">
        <v>16</v>
      </c>
      <c r="H3606" s="5">
        <v>4</v>
      </c>
      <c r="I3606" s="6" t="s">
        <v>9478</v>
      </c>
      <c r="J3606" s="5">
        <v>815</v>
      </c>
    </row>
    <row r="3607" s="2" customFormat="1" spans="1:10">
      <c r="A3607" s="6">
        <f>3605</f>
        <v>3605</v>
      </c>
      <c r="B3607" s="6" t="s">
        <v>9479</v>
      </c>
      <c r="C3607" s="6" t="s">
        <v>12</v>
      </c>
      <c r="D3607" s="6" t="s">
        <v>9344</v>
      </c>
      <c r="E3607" s="6" t="s">
        <v>9450</v>
      </c>
      <c r="F3607" s="6" t="s">
        <v>9480</v>
      </c>
      <c r="G3607" s="6" t="s">
        <v>16</v>
      </c>
      <c r="H3607" s="5">
        <v>1</v>
      </c>
      <c r="I3607" s="6" t="s">
        <v>9480</v>
      </c>
      <c r="J3607" s="5">
        <v>245</v>
      </c>
    </row>
    <row r="3608" s="2" customFormat="1" spans="1:10">
      <c r="A3608" s="6">
        <f>3606</f>
        <v>3606</v>
      </c>
      <c r="B3608" s="6" t="s">
        <v>9481</v>
      </c>
      <c r="C3608" s="6" t="s">
        <v>12</v>
      </c>
      <c r="D3608" s="6" t="s">
        <v>9344</v>
      </c>
      <c r="E3608" s="6" t="s">
        <v>9450</v>
      </c>
      <c r="F3608" s="6" t="s">
        <v>9482</v>
      </c>
      <c r="G3608" s="6" t="s">
        <v>16</v>
      </c>
      <c r="H3608" s="5">
        <v>1</v>
      </c>
      <c r="I3608" s="6" t="s">
        <v>9482</v>
      </c>
      <c r="J3608" s="5">
        <v>245</v>
      </c>
    </row>
    <row r="3609" s="2" customFormat="1" spans="1:10">
      <c r="A3609" s="6">
        <f>3607</f>
        <v>3607</v>
      </c>
      <c r="B3609" s="6" t="s">
        <v>9483</v>
      </c>
      <c r="C3609" s="6" t="s">
        <v>12</v>
      </c>
      <c r="D3609" s="6" t="s">
        <v>9344</v>
      </c>
      <c r="E3609" s="6" t="s">
        <v>9450</v>
      </c>
      <c r="F3609" s="6" t="s">
        <v>9484</v>
      </c>
      <c r="G3609" s="6" t="s">
        <v>16</v>
      </c>
      <c r="H3609" s="5">
        <v>1</v>
      </c>
      <c r="I3609" s="6" t="s">
        <v>9484</v>
      </c>
      <c r="J3609" s="5">
        <v>248</v>
      </c>
    </row>
    <row r="3610" s="2" customFormat="1" ht="27" spans="1:10">
      <c r="A3610" s="6">
        <f>3608</f>
        <v>3608</v>
      </c>
      <c r="B3610" s="6" t="s">
        <v>9485</v>
      </c>
      <c r="C3610" s="6" t="s">
        <v>12</v>
      </c>
      <c r="D3610" s="6" t="s">
        <v>9344</v>
      </c>
      <c r="E3610" s="6" t="s">
        <v>9450</v>
      </c>
      <c r="F3610" s="6" t="s">
        <v>9486</v>
      </c>
      <c r="G3610" s="6" t="s">
        <v>16</v>
      </c>
      <c r="H3610" s="5">
        <v>4</v>
      </c>
      <c r="I3610" s="6" t="s">
        <v>9487</v>
      </c>
      <c r="J3610" s="5">
        <v>740</v>
      </c>
    </row>
    <row r="3611" s="2" customFormat="1" spans="1:10">
      <c r="A3611" s="6">
        <f>3609</f>
        <v>3609</v>
      </c>
      <c r="B3611" s="6" t="s">
        <v>9488</v>
      </c>
      <c r="C3611" s="6" t="s">
        <v>12</v>
      </c>
      <c r="D3611" s="6" t="s">
        <v>9344</v>
      </c>
      <c r="E3611" s="6" t="s">
        <v>9450</v>
      </c>
      <c r="F3611" s="6" t="s">
        <v>9489</v>
      </c>
      <c r="G3611" s="6" t="s">
        <v>16</v>
      </c>
      <c r="H3611" s="5">
        <v>1</v>
      </c>
      <c r="I3611" s="6" t="s">
        <v>9489</v>
      </c>
      <c r="J3611" s="5">
        <v>390</v>
      </c>
    </row>
    <row r="3612" s="2" customFormat="1" spans="1:10">
      <c r="A3612" s="6">
        <f>3610</f>
        <v>3610</v>
      </c>
      <c r="B3612" s="6" t="s">
        <v>9490</v>
      </c>
      <c r="C3612" s="6" t="s">
        <v>12</v>
      </c>
      <c r="D3612" s="6" t="s">
        <v>9344</v>
      </c>
      <c r="E3612" s="6" t="s">
        <v>9450</v>
      </c>
      <c r="F3612" s="6" t="s">
        <v>9491</v>
      </c>
      <c r="G3612" s="6" t="s">
        <v>16</v>
      </c>
      <c r="H3612" s="5">
        <v>1</v>
      </c>
      <c r="I3612" s="6" t="s">
        <v>9491</v>
      </c>
      <c r="J3612" s="5">
        <v>360</v>
      </c>
    </row>
    <row r="3613" s="2" customFormat="1" spans="1:10">
      <c r="A3613" s="6">
        <f>3611</f>
        <v>3611</v>
      </c>
      <c r="B3613" s="6" t="s">
        <v>9492</v>
      </c>
      <c r="C3613" s="6" t="s">
        <v>12</v>
      </c>
      <c r="D3613" s="6" t="s">
        <v>9344</v>
      </c>
      <c r="E3613" s="6" t="s">
        <v>9450</v>
      </c>
      <c r="F3613" s="6" t="s">
        <v>9493</v>
      </c>
      <c r="G3613" s="6" t="s">
        <v>16</v>
      </c>
      <c r="H3613" s="5">
        <v>1</v>
      </c>
      <c r="I3613" s="6" t="s">
        <v>9493</v>
      </c>
      <c r="J3613" s="5">
        <v>245</v>
      </c>
    </row>
    <row r="3614" s="2" customFormat="1" spans="1:10">
      <c r="A3614" s="6">
        <f>3612</f>
        <v>3612</v>
      </c>
      <c r="B3614" s="6" t="s">
        <v>9494</v>
      </c>
      <c r="C3614" s="6" t="s">
        <v>12</v>
      </c>
      <c r="D3614" s="6" t="s">
        <v>9344</v>
      </c>
      <c r="E3614" s="6" t="s">
        <v>9450</v>
      </c>
      <c r="F3614" s="6" t="s">
        <v>9495</v>
      </c>
      <c r="G3614" s="6" t="s">
        <v>16</v>
      </c>
      <c r="H3614" s="5">
        <v>3</v>
      </c>
      <c r="I3614" s="6" t="s">
        <v>9496</v>
      </c>
      <c r="J3614" s="5">
        <v>1620</v>
      </c>
    </row>
    <row r="3615" s="2" customFormat="1" spans="1:10">
      <c r="A3615" s="6">
        <f>3613</f>
        <v>3613</v>
      </c>
      <c r="B3615" s="6" t="s">
        <v>9497</v>
      </c>
      <c r="C3615" s="6" t="s">
        <v>12</v>
      </c>
      <c r="D3615" s="6" t="s">
        <v>9344</v>
      </c>
      <c r="E3615" s="6" t="s">
        <v>9450</v>
      </c>
      <c r="F3615" s="6" t="s">
        <v>9498</v>
      </c>
      <c r="G3615" s="6" t="s">
        <v>16</v>
      </c>
      <c r="H3615" s="5">
        <v>1</v>
      </c>
      <c r="I3615" s="6" t="s">
        <v>9498</v>
      </c>
      <c r="J3615" s="5">
        <v>245</v>
      </c>
    </row>
    <row r="3616" s="2" customFormat="1" ht="27" spans="1:10">
      <c r="A3616" s="6">
        <f>3614</f>
        <v>3614</v>
      </c>
      <c r="B3616" s="6" t="s">
        <v>9499</v>
      </c>
      <c r="C3616" s="6" t="s">
        <v>12</v>
      </c>
      <c r="D3616" s="6" t="s">
        <v>9344</v>
      </c>
      <c r="E3616" s="6" t="s">
        <v>9450</v>
      </c>
      <c r="F3616" s="6" t="s">
        <v>9500</v>
      </c>
      <c r="G3616" s="6" t="s">
        <v>16</v>
      </c>
      <c r="H3616" s="5">
        <v>4</v>
      </c>
      <c r="I3616" s="6" t="s">
        <v>9501</v>
      </c>
      <c r="J3616" s="5">
        <v>1160</v>
      </c>
    </row>
    <row r="3617" s="2" customFormat="1" spans="1:10">
      <c r="A3617" s="6">
        <f>3615</f>
        <v>3615</v>
      </c>
      <c r="B3617" s="6" t="s">
        <v>9502</v>
      </c>
      <c r="C3617" s="6" t="s">
        <v>12</v>
      </c>
      <c r="D3617" s="6" t="s">
        <v>9344</v>
      </c>
      <c r="E3617" s="6" t="s">
        <v>9450</v>
      </c>
      <c r="F3617" s="6" t="s">
        <v>9503</v>
      </c>
      <c r="G3617" s="6" t="s">
        <v>16</v>
      </c>
      <c r="H3617" s="5">
        <v>2</v>
      </c>
      <c r="I3617" s="6" t="s">
        <v>9504</v>
      </c>
      <c r="J3617" s="5">
        <v>1200</v>
      </c>
    </row>
    <row r="3618" s="2" customFormat="1" spans="1:10">
      <c r="A3618" s="6">
        <f>3616</f>
        <v>3616</v>
      </c>
      <c r="B3618" s="6" t="s">
        <v>9505</v>
      </c>
      <c r="C3618" s="6" t="s">
        <v>12</v>
      </c>
      <c r="D3618" s="6" t="s">
        <v>9344</v>
      </c>
      <c r="E3618" s="6" t="s">
        <v>9450</v>
      </c>
      <c r="F3618" s="6" t="s">
        <v>9506</v>
      </c>
      <c r="G3618" s="6" t="s">
        <v>16</v>
      </c>
      <c r="H3618" s="5">
        <v>1</v>
      </c>
      <c r="I3618" s="6" t="s">
        <v>9506</v>
      </c>
      <c r="J3618" s="5">
        <v>245</v>
      </c>
    </row>
    <row r="3619" s="2" customFormat="1" spans="1:10">
      <c r="A3619" s="6">
        <f>3617</f>
        <v>3617</v>
      </c>
      <c r="B3619" s="6" t="s">
        <v>9507</v>
      </c>
      <c r="C3619" s="6" t="s">
        <v>12</v>
      </c>
      <c r="D3619" s="6" t="s">
        <v>9344</v>
      </c>
      <c r="E3619" s="6" t="s">
        <v>9450</v>
      </c>
      <c r="F3619" s="6" t="s">
        <v>9508</v>
      </c>
      <c r="G3619" s="6" t="s">
        <v>16</v>
      </c>
      <c r="H3619" s="5">
        <v>1</v>
      </c>
      <c r="I3619" s="6" t="s">
        <v>9508</v>
      </c>
      <c r="J3619" s="5">
        <v>380</v>
      </c>
    </row>
    <row r="3620" s="2" customFormat="1" spans="1:10">
      <c r="A3620" s="6">
        <f>3618</f>
        <v>3618</v>
      </c>
      <c r="B3620" s="6" t="s">
        <v>9509</v>
      </c>
      <c r="C3620" s="6" t="s">
        <v>12</v>
      </c>
      <c r="D3620" s="6" t="s">
        <v>9344</v>
      </c>
      <c r="E3620" s="6" t="s">
        <v>9450</v>
      </c>
      <c r="F3620" s="6" t="s">
        <v>9510</v>
      </c>
      <c r="G3620" s="6" t="s">
        <v>16</v>
      </c>
      <c r="H3620" s="5">
        <v>1</v>
      </c>
      <c r="I3620" s="6" t="s">
        <v>9510</v>
      </c>
      <c r="J3620" s="5">
        <v>390</v>
      </c>
    </row>
    <row r="3621" s="2" customFormat="1" spans="1:10">
      <c r="A3621" s="6">
        <f>3619</f>
        <v>3619</v>
      </c>
      <c r="B3621" s="6" t="s">
        <v>9511</v>
      </c>
      <c r="C3621" s="6" t="s">
        <v>12</v>
      </c>
      <c r="D3621" s="6" t="s">
        <v>9344</v>
      </c>
      <c r="E3621" s="6" t="s">
        <v>9450</v>
      </c>
      <c r="F3621" s="6" t="s">
        <v>9512</v>
      </c>
      <c r="G3621" s="6" t="s">
        <v>16</v>
      </c>
      <c r="H3621" s="5">
        <v>1</v>
      </c>
      <c r="I3621" s="6" t="s">
        <v>9512</v>
      </c>
      <c r="J3621" s="5">
        <v>245</v>
      </c>
    </row>
    <row r="3622" s="2" customFormat="1" spans="1:10">
      <c r="A3622" s="6">
        <f>3620</f>
        <v>3620</v>
      </c>
      <c r="B3622" s="6" t="s">
        <v>9513</v>
      </c>
      <c r="C3622" s="6" t="s">
        <v>12</v>
      </c>
      <c r="D3622" s="6" t="s">
        <v>9344</v>
      </c>
      <c r="E3622" s="6" t="s">
        <v>9450</v>
      </c>
      <c r="F3622" s="6" t="s">
        <v>9514</v>
      </c>
      <c r="G3622" s="6" t="s">
        <v>16</v>
      </c>
      <c r="H3622" s="5">
        <v>1</v>
      </c>
      <c r="I3622" s="6" t="s">
        <v>9514</v>
      </c>
      <c r="J3622" s="5">
        <v>260</v>
      </c>
    </row>
    <row r="3623" s="2" customFormat="1" spans="1:10">
      <c r="A3623" s="6">
        <f>3621</f>
        <v>3621</v>
      </c>
      <c r="B3623" s="6" t="s">
        <v>9515</v>
      </c>
      <c r="C3623" s="6" t="s">
        <v>12</v>
      </c>
      <c r="D3623" s="6" t="s">
        <v>9344</v>
      </c>
      <c r="E3623" s="6" t="s">
        <v>9450</v>
      </c>
      <c r="F3623" s="6" t="s">
        <v>9516</v>
      </c>
      <c r="G3623" s="6" t="s">
        <v>16</v>
      </c>
      <c r="H3623" s="5">
        <v>1</v>
      </c>
      <c r="I3623" s="6" t="s">
        <v>9516</v>
      </c>
      <c r="J3623" s="5">
        <v>245</v>
      </c>
    </row>
    <row r="3624" s="2" customFormat="1" spans="1:10">
      <c r="A3624" s="6">
        <f>3622</f>
        <v>3622</v>
      </c>
      <c r="B3624" s="6" t="s">
        <v>9517</v>
      </c>
      <c r="C3624" s="6" t="s">
        <v>12</v>
      </c>
      <c r="D3624" s="6" t="s">
        <v>9344</v>
      </c>
      <c r="E3624" s="6" t="s">
        <v>9450</v>
      </c>
      <c r="F3624" s="6" t="s">
        <v>9518</v>
      </c>
      <c r="G3624" s="6" t="s">
        <v>16</v>
      </c>
      <c r="H3624" s="5">
        <v>1</v>
      </c>
      <c r="I3624" s="6" t="s">
        <v>9518</v>
      </c>
      <c r="J3624" s="5">
        <v>245</v>
      </c>
    </row>
    <row r="3625" s="2" customFormat="1" spans="1:10">
      <c r="A3625" s="6">
        <f>3623</f>
        <v>3623</v>
      </c>
      <c r="B3625" s="6" t="s">
        <v>9519</v>
      </c>
      <c r="C3625" s="6" t="s">
        <v>12</v>
      </c>
      <c r="D3625" s="6" t="s">
        <v>9344</v>
      </c>
      <c r="E3625" s="6" t="s">
        <v>9450</v>
      </c>
      <c r="F3625" s="6" t="s">
        <v>9520</v>
      </c>
      <c r="G3625" s="6" t="s">
        <v>16</v>
      </c>
      <c r="H3625" s="5">
        <v>1</v>
      </c>
      <c r="I3625" s="6" t="s">
        <v>9520</v>
      </c>
      <c r="J3625" s="5">
        <v>380</v>
      </c>
    </row>
    <row r="3626" s="2" customFormat="1" spans="1:10">
      <c r="A3626" s="6">
        <f>3624</f>
        <v>3624</v>
      </c>
      <c r="B3626" s="6" t="s">
        <v>9521</v>
      </c>
      <c r="C3626" s="6" t="s">
        <v>12</v>
      </c>
      <c r="D3626" s="6" t="s">
        <v>9344</v>
      </c>
      <c r="E3626" s="6" t="s">
        <v>9450</v>
      </c>
      <c r="F3626" s="6" t="s">
        <v>9522</v>
      </c>
      <c r="G3626" s="6" t="s">
        <v>16</v>
      </c>
      <c r="H3626" s="5">
        <v>3</v>
      </c>
      <c r="I3626" s="6" t="s">
        <v>9523</v>
      </c>
      <c r="J3626" s="5">
        <v>865</v>
      </c>
    </row>
    <row r="3627" s="2" customFormat="1" ht="27" spans="1:10">
      <c r="A3627" s="6">
        <f>3625</f>
        <v>3625</v>
      </c>
      <c r="B3627" s="6" t="s">
        <v>9524</v>
      </c>
      <c r="C3627" s="6" t="s">
        <v>12</v>
      </c>
      <c r="D3627" s="6" t="s">
        <v>9344</v>
      </c>
      <c r="E3627" s="6" t="s">
        <v>9450</v>
      </c>
      <c r="F3627" s="6" t="s">
        <v>9525</v>
      </c>
      <c r="G3627" s="6" t="s">
        <v>16</v>
      </c>
      <c r="H3627" s="5">
        <v>6</v>
      </c>
      <c r="I3627" s="6" t="s">
        <v>9526</v>
      </c>
      <c r="J3627" s="5">
        <v>1840</v>
      </c>
    </row>
    <row r="3628" s="2" customFormat="1" spans="1:10">
      <c r="A3628" s="6">
        <f>3626</f>
        <v>3626</v>
      </c>
      <c r="B3628" s="6" t="s">
        <v>9527</v>
      </c>
      <c r="C3628" s="6" t="s">
        <v>12</v>
      </c>
      <c r="D3628" s="6" t="s">
        <v>9344</v>
      </c>
      <c r="E3628" s="6" t="s">
        <v>9450</v>
      </c>
      <c r="F3628" s="6" t="s">
        <v>9528</v>
      </c>
      <c r="G3628" s="6" t="s">
        <v>16</v>
      </c>
      <c r="H3628" s="5">
        <v>1</v>
      </c>
      <c r="I3628" s="6" t="s">
        <v>9528</v>
      </c>
      <c r="J3628" s="5">
        <v>245</v>
      </c>
    </row>
    <row r="3629" s="2" customFormat="1" spans="1:10">
      <c r="A3629" s="6">
        <f>3627</f>
        <v>3627</v>
      </c>
      <c r="B3629" s="6" t="s">
        <v>9529</v>
      </c>
      <c r="C3629" s="6" t="s">
        <v>12</v>
      </c>
      <c r="D3629" s="6" t="s">
        <v>9344</v>
      </c>
      <c r="E3629" s="6" t="s">
        <v>9450</v>
      </c>
      <c r="F3629" s="6" t="s">
        <v>9530</v>
      </c>
      <c r="G3629" s="6" t="s">
        <v>16</v>
      </c>
      <c r="H3629" s="5">
        <v>3</v>
      </c>
      <c r="I3629" s="6" t="s">
        <v>9531</v>
      </c>
      <c r="J3629" s="5">
        <v>1620</v>
      </c>
    </row>
    <row r="3630" s="2" customFormat="1" ht="27" spans="1:10">
      <c r="A3630" s="6">
        <f>3628</f>
        <v>3628</v>
      </c>
      <c r="B3630" s="6" t="s">
        <v>9532</v>
      </c>
      <c r="C3630" s="6" t="s">
        <v>12</v>
      </c>
      <c r="D3630" s="6" t="s">
        <v>9344</v>
      </c>
      <c r="E3630" s="6" t="s">
        <v>9450</v>
      </c>
      <c r="F3630" s="6" t="s">
        <v>9533</v>
      </c>
      <c r="G3630" s="6" t="s">
        <v>16</v>
      </c>
      <c r="H3630" s="5">
        <v>5</v>
      </c>
      <c r="I3630" s="6" t="s">
        <v>9534</v>
      </c>
      <c r="J3630" s="5">
        <v>1500</v>
      </c>
    </row>
    <row r="3631" s="2" customFormat="1" spans="1:10">
      <c r="A3631" s="6">
        <f>3629</f>
        <v>3629</v>
      </c>
      <c r="B3631" s="6" t="s">
        <v>9535</v>
      </c>
      <c r="C3631" s="6" t="s">
        <v>12</v>
      </c>
      <c r="D3631" s="6" t="s">
        <v>9344</v>
      </c>
      <c r="E3631" s="6" t="s">
        <v>9450</v>
      </c>
      <c r="F3631" s="6" t="s">
        <v>9536</v>
      </c>
      <c r="G3631" s="6" t="s">
        <v>16</v>
      </c>
      <c r="H3631" s="5">
        <v>3</v>
      </c>
      <c r="I3631" s="6" t="s">
        <v>9537</v>
      </c>
      <c r="J3631" s="5">
        <v>800</v>
      </c>
    </row>
    <row r="3632" s="2" customFormat="1" spans="1:10">
      <c r="A3632" s="6">
        <f>3630</f>
        <v>3630</v>
      </c>
      <c r="B3632" s="6" t="s">
        <v>9538</v>
      </c>
      <c r="C3632" s="6" t="s">
        <v>12</v>
      </c>
      <c r="D3632" s="6" t="s">
        <v>9344</v>
      </c>
      <c r="E3632" s="6" t="s">
        <v>9450</v>
      </c>
      <c r="F3632" s="6" t="s">
        <v>9539</v>
      </c>
      <c r="G3632" s="6" t="s">
        <v>16</v>
      </c>
      <c r="H3632" s="5">
        <v>3</v>
      </c>
      <c r="I3632" s="6" t="s">
        <v>9540</v>
      </c>
      <c r="J3632" s="5">
        <v>630</v>
      </c>
    </row>
    <row r="3633" s="2" customFormat="1" spans="1:10">
      <c r="A3633" s="6">
        <f>3631</f>
        <v>3631</v>
      </c>
      <c r="B3633" s="6" t="s">
        <v>9541</v>
      </c>
      <c r="C3633" s="6" t="s">
        <v>12</v>
      </c>
      <c r="D3633" s="6" t="s">
        <v>9344</v>
      </c>
      <c r="E3633" s="6" t="s">
        <v>9542</v>
      </c>
      <c r="F3633" s="6" t="s">
        <v>9543</v>
      </c>
      <c r="G3633" s="6" t="s">
        <v>16</v>
      </c>
      <c r="H3633" s="5">
        <v>1</v>
      </c>
      <c r="I3633" s="6" t="s">
        <v>9543</v>
      </c>
      <c r="J3633" s="5">
        <v>260</v>
      </c>
    </row>
    <row r="3634" s="2" customFormat="1" spans="1:10">
      <c r="A3634" s="6">
        <f>3632</f>
        <v>3632</v>
      </c>
      <c r="B3634" s="6" t="s">
        <v>9544</v>
      </c>
      <c r="C3634" s="6" t="s">
        <v>12</v>
      </c>
      <c r="D3634" s="6" t="s">
        <v>9344</v>
      </c>
      <c r="E3634" s="6" t="s">
        <v>9542</v>
      </c>
      <c r="F3634" s="6" t="s">
        <v>9545</v>
      </c>
      <c r="G3634" s="6" t="s">
        <v>16</v>
      </c>
      <c r="H3634" s="5">
        <v>1</v>
      </c>
      <c r="I3634" s="6" t="s">
        <v>9545</v>
      </c>
      <c r="J3634" s="5">
        <v>240</v>
      </c>
    </row>
    <row r="3635" s="2" customFormat="1" spans="1:10">
      <c r="A3635" s="6">
        <f>3633</f>
        <v>3633</v>
      </c>
      <c r="B3635" s="6" t="s">
        <v>9546</v>
      </c>
      <c r="C3635" s="6" t="s">
        <v>12</v>
      </c>
      <c r="D3635" s="6" t="s">
        <v>9344</v>
      </c>
      <c r="E3635" s="6" t="s">
        <v>9542</v>
      </c>
      <c r="F3635" s="6" t="s">
        <v>9547</v>
      </c>
      <c r="G3635" s="6" t="s">
        <v>16</v>
      </c>
      <c r="H3635" s="5">
        <v>1</v>
      </c>
      <c r="I3635" s="6" t="s">
        <v>9547</v>
      </c>
      <c r="J3635" s="5">
        <v>260</v>
      </c>
    </row>
    <row r="3636" s="2" customFormat="1" ht="27" spans="1:10">
      <c r="A3636" s="6">
        <f>3634</f>
        <v>3634</v>
      </c>
      <c r="B3636" s="6" t="s">
        <v>9548</v>
      </c>
      <c r="C3636" s="6" t="s">
        <v>12</v>
      </c>
      <c r="D3636" s="6" t="s">
        <v>9344</v>
      </c>
      <c r="E3636" s="6" t="s">
        <v>9542</v>
      </c>
      <c r="F3636" s="6" t="s">
        <v>9549</v>
      </c>
      <c r="G3636" s="6" t="s">
        <v>16</v>
      </c>
      <c r="H3636" s="5">
        <v>4</v>
      </c>
      <c r="I3636" s="6" t="s">
        <v>9550</v>
      </c>
      <c r="J3636" s="5">
        <v>690</v>
      </c>
    </row>
    <row r="3637" s="2" customFormat="1" spans="1:10">
      <c r="A3637" s="6">
        <f>3635</f>
        <v>3635</v>
      </c>
      <c r="B3637" s="6" t="s">
        <v>9551</v>
      </c>
      <c r="C3637" s="6" t="s">
        <v>12</v>
      </c>
      <c r="D3637" s="6" t="s">
        <v>9344</v>
      </c>
      <c r="E3637" s="6" t="s">
        <v>9542</v>
      </c>
      <c r="F3637" s="6" t="s">
        <v>9552</v>
      </c>
      <c r="G3637" s="6" t="s">
        <v>16</v>
      </c>
      <c r="H3637" s="5">
        <v>1</v>
      </c>
      <c r="I3637" s="6" t="s">
        <v>9552</v>
      </c>
      <c r="J3637" s="5">
        <v>240</v>
      </c>
    </row>
    <row r="3638" s="2" customFormat="1" ht="27" spans="1:10">
      <c r="A3638" s="6">
        <f>3636</f>
        <v>3636</v>
      </c>
      <c r="B3638" s="6" t="s">
        <v>9553</v>
      </c>
      <c r="C3638" s="6" t="s">
        <v>12</v>
      </c>
      <c r="D3638" s="6" t="s">
        <v>9344</v>
      </c>
      <c r="E3638" s="6" t="s">
        <v>9542</v>
      </c>
      <c r="F3638" s="6" t="s">
        <v>9554</v>
      </c>
      <c r="G3638" s="6" t="s">
        <v>16</v>
      </c>
      <c r="H3638" s="5">
        <v>4</v>
      </c>
      <c r="I3638" s="6" t="s">
        <v>9555</v>
      </c>
      <c r="J3638" s="5">
        <v>940</v>
      </c>
    </row>
    <row r="3639" s="2" customFormat="1" spans="1:10">
      <c r="A3639" s="6">
        <f>3637</f>
        <v>3637</v>
      </c>
      <c r="B3639" s="6" t="s">
        <v>9556</v>
      </c>
      <c r="C3639" s="6" t="s">
        <v>12</v>
      </c>
      <c r="D3639" s="6" t="s">
        <v>9344</v>
      </c>
      <c r="E3639" s="6" t="s">
        <v>9542</v>
      </c>
      <c r="F3639" s="6" t="s">
        <v>9557</v>
      </c>
      <c r="G3639" s="6" t="s">
        <v>16</v>
      </c>
      <c r="H3639" s="5">
        <v>2</v>
      </c>
      <c r="I3639" s="6" t="s">
        <v>9558</v>
      </c>
      <c r="J3639" s="5">
        <v>680</v>
      </c>
    </row>
    <row r="3640" s="2" customFormat="1" spans="1:10">
      <c r="A3640" s="6">
        <f>3638</f>
        <v>3638</v>
      </c>
      <c r="B3640" s="6" t="s">
        <v>9559</v>
      </c>
      <c r="C3640" s="6" t="s">
        <v>12</v>
      </c>
      <c r="D3640" s="6" t="s">
        <v>9344</v>
      </c>
      <c r="E3640" s="6" t="s">
        <v>9542</v>
      </c>
      <c r="F3640" s="6" t="s">
        <v>9560</v>
      </c>
      <c r="G3640" s="6" t="s">
        <v>16</v>
      </c>
      <c r="H3640" s="5">
        <v>2</v>
      </c>
      <c r="I3640" s="6" t="s">
        <v>9561</v>
      </c>
      <c r="J3640" s="5">
        <v>620</v>
      </c>
    </row>
    <row r="3641" s="2" customFormat="1" ht="27" spans="1:10">
      <c r="A3641" s="6">
        <f>3639</f>
        <v>3639</v>
      </c>
      <c r="B3641" s="6" t="s">
        <v>9562</v>
      </c>
      <c r="C3641" s="6" t="s">
        <v>12</v>
      </c>
      <c r="D3641" s="6" t="s">
        <v>9344</v>
      </c>
      <c r="E3641" s="6" t="s">
        <v>9542</v>
      </c>
      <c r="F3641" s="6" t="s">
        <v>9563</v>
      </c>
      <c r="G3641" s="6" t="s">
        <v>16</v>
      </c>
      <c r="H3641" s="5">
        <v>4</v>
      </c>
      <c r="I3641" s="6" t="s">
        <v>9564</v>
      </c>
      <c r="J3641" s="5">
        <v>1040</v>
      </c>
    </row>
    <row r="3642" s="2" customFormat="1" spans="1:10">
      <c r="A3642" s="6">
        <f>3640</f>
        <v>3640</v>
      </c>
      <c r="B3642" s="6" t="s">
        <v>9565</v>
      </c>
      <c r="C3642" s="6" t="s">
        <v>12</v>
      </c>
      <c r="D3642" s="6" t="s">
        <v>9344</v>
      </c>
      <c r="E3642" s="6" t="s">
        <v>9542</v>
      </c>
      <c r="F3642" s="6" t="s">
        <v>9566</v>
      </c>
      <c r="G3642" s="6" t="s">
        <v>16</v>
      </c>
      <c r="H3642" s="5">
        <v>2</v>
      </c>
      <c r="I3642" s="6" t="s">
        <v>9567</v>
      </c>
      <c r="J3642" s="5">
        <v>720</v>
      </c>
    </row>
    <row r="3643" s="2" customFormat="1" spans="1:10">
      <c r="A3643" s="6">
        <f>3641</f>
        <v>3641</v>
      </c>
      <c r="B3643" s="6" t="s">
        <v>9568</v>
      </c>
      <c r="C3643" s="6" t="s">
        <v>12</v>
      </c>
      <c r="D3643" s="6" t="s">
        <v>9344</v>
      </c>
      <c r="E3643" s="6" t="s">
        <v>9542</v>
      </c>
      <c r="F3643" s="6" t="s">
        <v>9569</v>
      </c>
      <c r="G3643" s="6" t="s">
        <v>16</v>
      </c>
      <c r="H3643" s="5">
        <v>1</v>
      </c>
      <c r="I3643" s="6" t="s">
        <v>9569</v>
      </c>
      <c r="J3643" s="5">
        <v>620</v>
      </c>
    </row>
    <row r="3644" s="2" customFormat="1" spans="1:10">
      <c r="A3644" s="6">
        <f>3642</f>
        <v>3642</v>
      </c>
      <c r="B3644" s="6" t="s">
        <v>9570</v>
      </c>
      <c r="C3644" s="6" t="s">
        <v>12</v>
      </c>
      <c r="D3644" s="6" t="s">
        <v>9344</v>
      </c>
      <c r="E3644" s="6" t="s">
        <v>9542</v>
      </c>
      <c r="F3644" s="6" t="s">
        <v>9571</v>
      </c>
      <c r="G3644" s="6" t="s">
        <v>16</v>
      </c>
      <c r="H3644" s="5">
        <v>3</v>
      </c>
      <c r="I3644" s="6" t="s">
        <v>9572</v>
      </c>
      <c r="J3644" s="5">
        <v>1120</v>
      </c>
    </row>
    <row r="3645" s="2" customFormat="1" spans="1:10">
      <c r="A3645" s="6">
        <f>3643</f>
        <v>3643</v>
      </c>
      <c r="B3645" s="6" t="s">
        <v>9573</v>
      </c>
      <c r="C3645" s="6" t="s">
        <v>12</v>
      </c>
      <c r="D3645" s="6" t="s">
        <v>9344</v>
      </c>
      <c r="E3645" s="6" t="s">
        <v>9542</v>
      </c>
      <c r="F3645" s="6" t="s">
        <v>9574</v>
      </c>
      <c r="G3645" s="6" t="s">
        <v>16</v>
      </c>
      <c r="H3645" s="5">
        <v>3</v>
      </c>
      <c r="I3645" s="6" t="s">
        <v>9575</v>
      </c>
      <c r="J3645" s="5">
        <v>1620</v>
      </c>
    </row>
    <row r="3646" s="2" customFormat="1" spans="1:10">
      <c r="A3646" s="6">
        <f>3644</f>
        <v>3644</v>
      </c>
      <c r="B3646" s="6" t="s">
        <v>9576</v>
      </c>
      <c r="C3646" s="6" t="s">
        <v>12</v>
      </c>
      <c r="D3646" s="6" t="s">
        <v>9344</v>
      </c>
      <c r="E3646" s="6" t="s">
        <v>9542</v>
      </c>
      <c r="F3646" s="6" t="s">
        <v>9577</v>
      </c>
      <c r="G3646" s="6" t="s">
        <v>16</v>
      </c>
      <c r="H3646" s="5">
        <v>1</v>
      </c>
      <c r="I3646" s="6" t="s">
        <v>9577</v>
      </c>
      <c r="J3646" s="5">
        <v>540</v>
      </c>
    </row>
    <row r="3647" s="2" customFormat="1" spans="1:10">
      <c r="A3647" s="6">
        <f>3645</f>
        <v>3645</v>
      </c>
      <c r="B3647" s="6" t="s">
        <v>9578</v>
      </c>
      <c r="C3647" s="6" t="s">
        <v>12</v>
      </c>
      <c r="D3647" s="6" t="s">
        <v>9344</v>
      </c>
      <c r="E3647" s="6" t="s">
        <v>9542</v>
      </c>
      <c r="F3647" s="6" t="s">
        <v>9579</v>
      </c>
      <c r="G3647" s="6" t="s">
        <v>16</v>
      </c>
      <c r="H3647" s="5">
        <v>1</v>
      </c>
      <c r="I3647" s="6" t="s">
        <v>9579</v>
      </c>
      <c r="J3647" s="5">
        <v>365</v>
      </c>
    </row>
    <row r="3648" s="2" customFormat="1" spans="1:10">
      <c r="A3648" s="6">
        <f>3646</f>
        <v>3646</v>
      </c>
      <c r="B3648" s="6" t="s">
        <v>9580</v>
      </c>
      <c r="C3648" s="6" t="s">
        <v>12</v>
      </c>
      <c r="D3648" s="6" t="s">
        <v>9344</v>
      </c>
      <c r="E3648" s="6" t="s">
        <v>9542</v>
      </c>
      <c r="F3648" s="6" t="s">
        <v>9581</v>
      </c>
      <c r="G3648" s="6" t="s">
        <v>16</v>
      </c>
      <c r="H3648" s="5">
        <v>2</v>
      </c>
      <c r="I3648" s="6" t="s">
        <v>9582</v>
      </c>
      <c r="J3648" s="5">
        <v>305</v>
      </c>
    </row>
    <row r="3649" s="2" customFormat="1" spans="1:10">
      <c r="A3649" s="6">
        <f>3647</f>
        <v>3647</v>
      </c>
      <c r="B3649" s="6" t="s">
        <v>9583</v>
      </c>
      <c r="C3649" s="6" t="s">
        <v>12</v>
      </c>
      <c r="D3649" s="6" t="s">
        <v>9344</v>
      </c>
      <c r="E3649" s="6" t="s">
        <v>9542</v>
      </c>
      <c r="F3649" s="6" t="s">
        <v>9584</v>
      </c>
      <c r="G3649" s="6" t="s">
        <v>16</v>
      </c>
      <c r="H3649" s="5">
        <v>1</v>
      </c>
      <c r="I3649" s="6" t="s">
        <v>9584</v>
      </c>
      <c r="J3649" s="5">
        <v>250</v>
      </c>
    </row>
    <row r="3650" s="2" customFormat="1" spans="1:10">
      <c r="A3650" s="6">
        <f>3648</f>
        <v>3648</v>
      </c>
      <c r="B3650" s="6" t="s">
        <v>9585</v>
      </c>
      <c r="C3650" s="6" t="s">
        <v>12</v>
      </c>
      <c r="D3650" s="6" t="s">
        <v>9344</v>
      </c>
      <c r="E3650" s="6" t="s">
        <v>9542</v>
      </c>
      <c r="F3650" s="6" t="s">
        <v>9586</v>
      </c>
      <c r="G3650" s="6" t="s">
        <v>16</v>
      </c>
      <c r="H3650" s="5">
        <v>1</v>
      </c>
      <c r="I3650" s="6" t="s">
        <v>9586</v>
      </c>
      <c r="J3650" s="5">
        <v>405</v>
      </c>
    </row>
    <row r="3651" s="2" customFormat="1" spans="1:10">
      <c r="A3651" s="6">
        <f>3649</f>
        <v>3649</v>
      </c>
      <c r="B3651" s="6" t="s">
        <v>9587</v>
      </c>
      <c r="C3651" s="6" t="s">
        <v>12</v>
      </c>
      <c r="D3651" s="6" t="s">
        <v>9344</v>
      </c>
      <c r="E3651" s="6" t="s">
        <v>9542</v>
      </c>
      <c r="F3651" s="6" t="s">
        <v>9588</v>
      </c>
      <c r="G3651" s="6" t="s">
        <v>16</v>
      </c>
      <c r="H3651" s="5">
        <v>2</v>
      </c>
      <c r="I3651" s="6" t="s">
        <v>9589</v>
      </c>
      <c r="J3651" s="5">
        <v>1080</v>
      </c>
    </row>
    <row r="3652" s="2" customFormat="1" spans="1:10">
      <c r="A3652" s="6">
        <f>3650</f>
        <v>3650</v>
      </c>
      <c r="B3652" s="6" t="s">
        <v>9590</v>
      </c>
      <c r="C3652" s="6" t="s">
        <v>12</v>
      </c>
      <c r="D3652" s="6" t="s">
        <v>9344</v>
      </c>
      <c r="E3652" s="6" t="s">
        <v>9542</v>
      </c>
      <c r="F3652" s="6" t="s">
        <v>9591</v>
      </c>
      <c r="G3652" s="6" t="s">
        <v>16</v>
      </c>
      <c r="H3652" s="5">
        <v>2</v>
      </c>
      <c r="I3652" s="6" t="s">
        <v>9592</v>
      </c>
      <c r="J3652" s="5">
        <v>480</v>
      </c>
    </row>
    <row r="3653" s="2" customFormat="1" spans="1:10">
      <c r="A3653" s="6">
        <f>3651</f>
        <v>3651</v>
      </c>
      <c r="B3653" s="6" t="s">
        <v>9593</v>
      </c>
      <c r="C3653" s="6" t="s">
        <v>12</v>
      </c>
      <c r="D3653" s="6" t="s">
        <v>9344</v>
      </c>
      <c r="E3653" s="6" t="s">
        <v>9542</v>
      </c>
      <c r="F3653" s="6" t="s">
        <v>9594</v>
      </c>
      <c r="G3653" s="6" t="s">
        <v>16</v>
      </c>
      <c r="H3653" s="5">
        <v>2</v>
      </c>
      <c r="I3653" s="6" t="s">
        <v>9595</v>
      </c>
      <c r="J3653" s="5">
        <v>320</v>
      </c>
    </row>
    <row r="3654" s="2" customFormat="1" ht="27" spans="1:10">
      <c r="A3654" s="6">
        <f>3652</f>
        <v>3652</v>
      </c>
      <c r="B3654" s="6" t="s">
        <v>9596</v>
      </c>
      <c r="C3654" s="6" t="s">
        <v>12</v>
      </c>
      <c r="D3654" s="6" t="s">
        <v>9344</v>
      </c>
      <c r="E3654" s="6" t="s">
        <v>9542</v>
      </c>
      <c r="F3654" s="6" t="s">
        <v>9597</v>
      </c>
      <c r="G3654" s="6" t="s">
        <v>16</v>
      </c>
      <c r="H3654" s="5">
        <v>4</v>
      </c>
      <c r="I3654" s="6" t="s">
        <v>9598</v>
      </c>
      <c r="J3654" s="5">
        <v>698</v>
      </c>
    </row>
    <row r="3655" s="2" customFormat="1" ht="27" spans="1:10">
      <c r="A3655" s="6">
        <f>3653</f>
        <v>3653</v>
      </c>
      <c r="B3655" s="6" t="s">
        <v>9599</v>
      </c>
      <c r="C3655" s="6" t="s">
        <v>12</v>
      </c>
      <c r="D3655" s="6" t="s">
        <v>9344</v>
      </c>
      <c r="E3655" s="6" t="s">
        <v>9542</v>
      </c>
      <c r="F3655" s="6" t="s">
        <v>9600</v>
      </c>
      <c r="G3655" s="6" t="s">
        <v>16</v>
      </c>
      <c r="H3655" s="5">
        <v>5</v>
      </c>
      <c r="I3655" s="6" t="s">
        <v>9601</v>
      </c>
      <c r="J3655" s="5">
        <v>1320</v>
      </c>
    </row>
    <row r="3656" s="2" customFormat="1" spans="1:10">
      <c r="A3656" s="6">
        <f>3654</f>
        <v>3654</v>
      </c>
      <c r="B3656" s="6" t="s">
        <v>9602</v>
      </c>
      <c r="C3656" s="6" t="s">
        <v>12</v>
      </c>
      <c r="D3656" s="6" t="s">
        <v>9344</v>
      </c>
      <c r="E3656" s="6" t="s">
        <v>9542</v>
      </c>
      <c r="F3656" s="6" t="s">
        <v>9603</v>
      </c>
      <c r="G3656" s="6" t="s">
        <v>16</v>
      </c>
      <c r="H3656" s="5">
        <v>1</v>
      </c>
      <c r="I3656" s="6" t="s">
        <v>9603</v>
      </c>
      <c r="J3656" s="5">
        <v>245</v>
      </c>
    </row>
    <row r="3657" s="2" customFormat="1" spans="1:10">
      <c r="A3657" s="6">
        <f>3655</f>
        <v>3655</v>
      </c>
      <c r="B3657" s="6" t="s">
        <v>9604</v>
      </c>
      <c r="C3657" s="6" t="s">
        <v>12</v>
      </c>
      <c r="D3657" s="6" t="s">
        <v>9344</v>
      </c>
      <c r="E3657" s="6" t="s">
        <v>9542</v>
      </c>
      <c r="F3657" s="6" t="s">
        <v>9605</v>
      </c>
      <c r="G3657" s="6" t="s">
        <v>16</v>
      </c>
      <c r="H3657" s="5">
        <v>1</v>
      </c>
      <c r="I3657" s="6" t="s">
        <v>9605</v>
      </c>
      <c r="J3657" s="5">
        <v>260</v>
      </c>
    </row>
    <row r="3658" s="2" customFormat="1" spans="1:10">
      <c r="A3658" s="6">
        <f>3656</f>
        <v>3656</v>
      </c>
      <c r="B3658" s="6" t="s">
        <v>9606</v>
      </c>
      <c r="C3658" s="6" t="s">
        <v>12</v>
      </c>
      <c r="D3658" s="6" t="s">
        <v>9344</v>
      </c>
      <c r="E3658" s="6" t="s">
        <v>9542</v>
      </c>
      <c r="F3658" s="6" t="s">
        <v>9607</v>
      </c>
      <c r="G3658" s="6" t="s">
        <v>16</v>
      </c>
      <c r="H3658" s="5">
        <v>2</v>
      </c>
      <c r="I3658" s="6" t="s">
        <v>9608</v>
      </c>
      <c r="J3658" s="5">
        <v>320</v>
      </c>
    </row>
    <row r="3659" s="2" customFormat="1" ht="27" spans="1:10">
      <c r="A3659" s="6">
        <f>3657</f>
        <v>3657</v>
      </c>
      <c r="B3659" s="6" t="s">
        <v>9609</v>
      </c>
      <c r="C3659" s="6" t="s">
        <v>12</v>
      </c>
      <c r="D3659" s="6" t="s">
        <v>9344</v>
      </c>
      <c r="E3659" s="6" t="s">
        <v>9542</v>
      </c>
      <c r="F3659" s="6" t="s">
        <v>9610</v>
      </c>
      <c r="G3659" s="6" t="s">
        <v>16</v>
      </c>
      <c r="H3659" s="5">
        <v>6</v>
      </c>
      <c r="I3659" s="6" t="s">
        <v>9611</v>
      </c>
      <c r="J3659" s="5">
        <v>1260</v>
      </c>
    </row>
    <row r="3660" s="2" customFormat="1" spans="1:10">
      <c r="A3660" s="6">
        <f>3658</f>
        <v>3658</v>
      </c>
      <c r="B3660" s="6" t="s">
        <v>9612</v>
      </c>
      <c r="C3660" s="6" t="s">
        <v>12</v>
      </c>
      <c r="D3660" s="6" t="s">
        <v>9344</v>
      </c>
      <c r="E3660" s="6" t="s">
        <v>9542</v>
      </c>
      <c r="F3660" s="6" t="s">
        <v>9613</v>
      </c>
      <c r="G3660" s="6" t="s">
        <v>16</v>
      </c>
      <c r="H3660" s="5">
        <v>1</v>
      </c>
      <c r="I3660" s="6" t="s">
        <v>9613</v>
      </c>
      <c r="J3660" s="5">
        <v>250</v>
      </c>
    </row>
    <row r="3661" s="2" customFormat="1" spans="1:10">
      <c r="A3661" s="6">
        <f>3659</f>
        <v>3659</v>
      </c>
      <c r="B3661" s="6" t="s">
        <v>9614</v>
      </c>
      <c r="C3661" s="6" t="s">
        <v>12</v>
      </c>
      <c r="D3661" s="6" t="s">
        <v>9344</v>
      </c>
      <c r="E3661" s="6" t="s">
        <v>9542</v>
      </c>
      <c r="F3661" s="6" t="s">
        <v>9615</v>
      </c>
      <c r="G3661" s="6" t="s">
        <v>16</v>
      </c>
      <c r="H3661" s="5">
        <v>1</v>
      </c>
      <c r="I3661" s="6" t="s">
        <v>9615</v>
      </c>
      <c r="J3661" s="5">
        <v>405</v>
      </c>
    </row>
    <row r="3662" s="2" customFormat="1" spans="1:10">
      <c r="A3662" s="6">
        <f>3660</f>
        <v>3660</v>
      </c>
      <c r="B3662" s="6" t="s">
        <v>9616</v>
      </c>
      <c r="C3662" s="6" t="s">
        <v>12</v>
      </c>
      <c r="D3662" s="6" t="s">
        <v>9344</v>
      </c>
      <c r="E3662" s="6" t="s">
        <v>9542</v>
      </c>
      <c r="F3662" s="6" t="s">
        <v>9617</v>
      </c>
      <c r="G3662" s="6" t="s">
        <v>16</v>
      </c>
      <c r="H3662" s="5">
        <v>2</v>
      </c>
      <c r="I3662" s="6" t="s">
        <v>9618</v>
      </c>
      <c r="J3662" s="5">
        <v>520</v>
      </c>
    </row>
    <row r="3663" s="2" customFormat="1" spans="1:10">
      <c r="A3663" s="6">
        <f>3661</f>
        <v>3661</v>
      </c>
      <c r="B3663" s="6" t="s">
        <v>9619</v>
      </c>
      <c r="C3663" s="6" t="s">
        <v>12</v>
      </c>
      <c r="D3663" s="6" t="s">
        <v>9344</v>
      </c>
      <c r="E3663" s="6" t="s">
        <v>9542</v>
      </c>
      <c r="F3663" s="6" t="s">
        <v>5070</v>
      </c>
      <c r="G3663" s="6" t="s">
        <v>16</v>
      </c>
      <c r="H3663" s="5">
        <v>2</v>
      </c>
      <c r="I3663" s="6" t="s">
        <v>9620</v>
      </c>
      <c r="J3663" s="5">
        <v>368</v>
      </c>
    </row>
    <row r="3664" s="2" customFormat="1" spans="1:10">
      <c r="A3664" s="6">
        <f>3662</f>
        <v>3662</v>
      </c>
      <c r="B3664" s="6" t="s">
        <v>9621</v>
      </c>
      <c r="C3664" s="6" t="s">
        <v>12</v>
      </c>
      <c r="D3664" s="6" t="s">
        <v>9344</v>
      </c>
      <c r="E3664" s="6" t="s">
        <v>9542</v>
      </c>
      <c r="F3664" s="6" t="s">
        <v>4331</v>
      </c>
      <c r="G3664" s="6" t="s">
        <v>16</v>
      </c>
      <c r="H3664" s="5">
        <v>3</v>
      </c>
      <c r="I3664" s="6" t="s">
        <v>9622</v>
      </c>
      <c r="J3664" s="5">
        <v>1420</v>
      </c>
    </row>
    <row r="3665" s="2" customFormat="1" spans="1:10">
      <c r="A3665" s="6">
        <f>3663</f>
        <v>3663</v>
      </c>
      <c r="B3665" s="6" t="s">
        <v>9623</v>
      </c>
      <c r="C3665" s="6" t="s">
        <v>12</v>
      </c>
      <c r="D3665" s="6" t="s">
        <v>9344</v>
      </c>
      <c r="E3665" s="6" t="s">
        <v>9542</v>
      </c>
      <c r="F3665" s="6" t="s">
        <v>9624</v>
      </c>
      <c r="G3665" s="6" t="s">
        <v>16</v>
      </c>
      <c r="H3665" s="5">
        <v>2</v>
      </c>
      <c r="I3665" s="6" t="s">
        <v>9625</v>
      </c>
      <c r="J3665" s="5">
        <v>380</v>
      </c>
    </row>
    <row r="3666" s="2" customFormat="1" spans="1:10">
      <c r="A3666" s="6">
        <f>3664</f>
        <v>3664</v>
      </c>
      <c r="B3666" s="6" t="s">
        <v>9626</v>
      </c>
      <c r="C3666" s="6" t="s">
        <v>12</v>
      </c>
      <c r="D3666" s="6" t="s">
        <v>9344</v>
      </c>
      <c r="E3666" s="6" t="s">
        <v>9542</v>
      </c>
      <c r="F3666" s="6" t="s">
        <v>9627</v>
      </c>
      <c r="G3666" s="6" t="s">
        <v>16</v>
      </c>
      <c r="H3666" s="5">
        <v>1</v>
      </c>
      <c r="I3666" s="6" t="s">
        <v>9627</v>
      </c>
      <c r="J3666" s="5">
        <v>435</v>
      </c>
    </row>
    <row r="3667" s="2" customFormat="1" spans="1:10">
      <c r="A3667" s="6">
        <f>3665</f>
        <v>3665</v>
      </c>
      <c r="B3667" s="6" t="s">
        <v>9628</v>
      </c>
      <c r="C3667" s="6" t="s">
        <v>12</v>
      </c>
      <c r="D3667" s="6" t="s">
        <v>9344</v>
      </c>
      <c r="E3667" s="6" t="s">
        <v>9542</v>
      </c>
      <c r="F3667" s="6" t="s">
        <v>9629</v>
      </c>
      <c r="G3667" s="6" t="s">
        <v>16</v>
      </c>
      <c r="H3667" s="5">
        <v>2</v>
      </c>
      <c r="I3667" s="6" t="s">
        <v>9630</v>
      </c>
      <c r="J3667" s="5">
        <v>880</v>
      </c>
    </row>
    <row r="3668" s="2" customFormat="1" spans="1:10">
      <c r="A3668" s="6">
        <f>3666</f>
        <v>3666</v>
      </c>
      <c r="B3668" s="6" t="s">
        <v>9631</v>
      </c>
      <c r="C3668" s="6" t="s">
        <v>12</v>
      </c>
      <c r="D3668" s="6" t="s">
        <v>9344</v>
      </c>
      <c r="E3668" s="6" t="s">
        <v>9542</v>
      </c>
      <c r="F3668" s="6" t="s">
        <v>9632</v>
      </c>
      <c r="G3668" s="6" t="s">
        <v>16</v>
      </c>
      <c r="H3668" s="5">
        <v>1</v>
      </c>
      <c r="I3668" s="6" t="s">
        <v>9632</v>
      </c>
      <c r="J3668" s="5">
        <v>248</v>
      </c>
    </row>
    <row r="3669" s="2" customFormat="1" spans="1:10">
      <c r="A3669" s="6">
        <f>3667</f>
        <v>3667</v>
      </c>
      <c r="B3669" s="6" t="s">
        <v>9633</v>
      </c>
      <c r="C3669" s="6" t="s">
        <v>12</v>
      </c>
      <c r="D3669" s="6" t="s">
        <v>9344</v>
      </c>
      <c r="E3669" s="6" t="s">
        <v>9542</v>
      </c>
      <c r="F3669" s="6" t="s">
        <v>9634</v>
      </c>
      <c r="G3669" s="6" t="s">
        <v>16</v>
      </c>
      <c r="H3669" s="5">
        <v>1</v>
      </c>
      <c r="I3669" s="6" t="s">
        <v>9634</v>
      </c>
      <c r="J3669" s="5">
        <v>245</v>
      </c>
    </row>
    <row r="3670" s="2" customFormat="1" spans="1:10">
      <c r="A3670" s="6">
        <f>3668</f>
        <v>3668</v>
      </c>
      <c r="B3670" s="6" t="s">
        <v>9635</v>
      </c>
      <c r="C3670" s="6" t="s">
        <v>12</v>
      </c>
      <c r="D3670" s="6" t="s">
        <v>9344</v>
      </c>
      <c r="E3670" s="6" t="s">
        <v>9636</v>
      </c>
      <c r="F3670" s="6" t="s">
        <v>9637</v>
      </c>
      <c r="G3670" s="6" t="s">
        <v>16</v>
      </c>
      <c r="H3670" s="5">
        <v>2</v>
      </c>
      <c r="I3670" s="6" t="s">
        <v>9638</v>
      </c>
      <c r="J3670" s="5">
        <v>650</v>
      </c>
    </row>
    <row r="3671" s="2" customFormat="1" spans="1:10">
      <c r="A3671" s="6">
        <f>3669</f>
        <v>3669</v>
      </c>
      <c r="B3671" s="6" t="s">
        <v>9639</v>
      </c>
      <c r="C3671" s="6" t="s">
        <v>12</v>
      </c>
      <c r="D3671" s="6" t="s">
        <v>9344</v>
      </c>
      <c r="E3671" s="6" t="s">
        <v>9636</v>
      </c>
      <c r="F3671" s="6" t="s">
        <v>9640</v>
      </c>
      <c r="G3671" s="6" t="s">
        <v>16</v>
      </c>
      <c r="H3671" s="5">
        <v>1</v>
      </c>
      <c r="I3671" s="6" t="s">
        <v>9640</v>
      </c>
      <c r="J3671" s="5">
        <v>460</v>
      </c>
    </row>
    <row r="3672" s="2" customFormat="1" spans="1:10">
      <c r="A3672" s="6">
        <f>3670</f>
        <v>3670</v>
      </c>
      <c r="B3672" s="6" t="s">
        <v>9641</v>
      </c>
      <c r="C3672" s="6" t="s">
        <v>12</v>
      </c>
      <c r="D3672" s="6" t="s">
        <v>9344</v>
      </c>
      <c r="E3672" s="6" t="s">
        <v>9636</v>
      </c>
      <c r="F3672" s="6" t="s">
        <v>9642</v>
      </c>
      <c r="G3672" s="6" t="s">
        <v>16</v>
      </c>
      <c r="H3672" s="5">
        <v>1</v>
      </c>
      <c r="I3672" s="6" t="s">
        <v>9642</v>
      </c>
      <c r="J3672" s="5">
        <v>460</v>
      </c>
    </row>
    <row r="3673" s="2" customFormat="1" ht="27" spans="1:10">
      <c r="A3673" s="6">
        <f>3671</f>
        <v>3671</v>
      </c>
      <c r="B3673" s="6" t="s">
        <v>9643</v>
      </c>
      <c r="C3673" s="6" t="s">
        <v>12</v>
      </c>
      <c r="D3673" s="6" t="s">
        <v>9344</v>
      </c>
      <c r="E3673" s="6" t="s">
        <v>9636</v>
      </c>
      <c r="F3673" s="6" t="s">
        <v>9644</v>
      </c>
      <c r="G3673" s="6" t="s">
        <v>16</v>
      </c>
      <c r="H3673" s="5">
        <v>4</v>
      </c>
      <c r="I3673" s="6" t="s">
        <v>9645</v>
      </c>
      <c r="J3673" s="5">
        <v>1240</v>
      </c>
    </row>
    <row r="3674" s="2" customFormat="1" spans="1:10">
      <c r="A3674" s="6">
        <f>3672</f>
        <v>3672</v>
      </c>
      <c r="B3674" s="6" t="s">
        <v>9646</v>
      </c>
      <c r="C3674" s="6" t="s">
        <v>12</v>
      </c>
      <c r="D3674" s="6" t="s">
        <v>9344</v>
      </c>
      <c r="E3674" s="6" t="s">
        <v>9636</v>
      </c>
      <c r="F3674" s="6" t="s">
        <v>9647</v>
      </c>
      <c r="G3674" s="6" t="s">
        <v>16</v>
      </c>
      <c r="H3674" s="5">
        <v>3</v>
      </c>
      <c r="I3674" s="6" t="s">
        <v>9648</v>
      </c>
      <c r="J3674" s="5">
        <v>860</v>
      </c>
    </row>
    <row r="3675" s="2" customFormat="1" ht="27" spans="1:10">
      <c r="A3675" s="6">
        <f>3673</f>
        <v>3673</v>
      </c>
      <c r="B3675" s="6" t="s">
        <v>9649</v>
      </c>
      <c r="C3675" s="6" t="s">
        <v>12</v>
      </c>
      <c r="D3675" s="6" t="s">
        <v>9344</v>
      </c>
      <c r="E3675" s="6" t="s">
        <v>9636</v>
      </c>
      <c r="F3675" s="6" t="s">
        <v>9650</v>
      </c>
      <c r="G3675" s="6" t="s">
        <v>16</v>
      </c>
      <c r="H3675" s="5">
        <v>4</v>
      </c>
      <c r="I3675" s="6" t="s">
        <v>9651</v>
      </c>
      <c r="J3675" s="5">
        <v>1140</v>
      </c>
    </row>
    <row r="3676" s="2" customFormat="1" spans="1:10">
      <c r="A3676" s="6">
        <f>3674</f>
        <v>3674</v>
      </c>
      <c r="B3676" s="6" t="s">
        <v>9652</v>
      </c>
      <c r="C3676" s="6" t="s">
        <v>12</v>
      </c>
      <c r="D3676" s="6" t="s">
        <v>9344</v>
      </c>
      <c r="E3676" s="6" t="s">
        <v>9636</v>
      </c>
      <c r="F3676" s="6" t="s">
        <v>9653</v>
      </c>
      <c r="G3676" s="6" t="s">
        <v>16</v>
      </c>
      <c r="H3676" s="5">
        <v>1</v>
      </c>
      <c r="I3676" s="6" t="s">
        <v>9653</v>
      </c>
      <c r="J3676" s="5">
        <v>340</v>
      </c>
    </row>
    <row r="3677" s="2" customFormat="1" spans="1:10">
      <c r="A3677" s="6">
        <f>3675</f>
        <v>3675</v>
      </c>
      <c r="B3677" s="6" t="s">
        <v>9654</v>
      </c>
      <c r="C3677" s="6" t="s">
        <v>12</v>
      </c>
      <c r="D3677" s="6" t="s">
        <v>9344</v>
      </c>
      <c r="E3677" s="6" t="s">
        <v>9636</v>
      </c>
      <c r="F3677" s="6" t="s">
        <v>9655</v>
      </c>
      <c r="G3677" s="6" t="s">
        <v>16</v>
      </c>
      <c r="H3677" s="5">
        <v>2</v>
      </c>
      <c r="I3677" s="6" t="s">
        <v>9656</v>
      </c>
      <c r="J3677" s="5">
        <v>620</v>
      </c>
    </row>
    <row r="3678" s="2" customFormat="1" spans="1:10">
      <c r="A3678" s="6">
        <f>3676</f>
        <v>3676</v>
      </c>
      <c r="B3678" s="6" t="s">
        <v>9657</v>
      </c>
      <c r="C3678" s="6" t="s">
        <v>12</v>
      </c>
      <c r="D3678" s="6" t="s">
        <v>9344</v>
      </c>
      <c r="E3678" s="6" t="s">
        <v>9636</v>
      </c>
      <c r="F3678" s="6" t="s">
        <v>9658</v>
      </c>
      <c r="G3678" s="6" t="s">
        <v>16</v>
      </c>
      <c r="H3678" s="5">
        <v>3</v>
      </c>
      <c r="I3678" s="6" t="s">
        <v>9659</v>
      </c>
      <c r="J3678" s="5">
        <v>880</v>
      </c>
    </row>
    <row r="3679" s="2" customFormat="1" ht="27" spans="1:10">
      <c r="A3679" s="6">
        <f>3677</f>
        <v>3677</v>
      </c>
      <c r="B3679" s="6" t="s">
        <v>9660</v>
      </c>
      <c r="C3679" s="6" t="s">
        <v>12</v>
      </c>
      <c r="D3679" s="6" t="s">
        <v>9344</v>
      </c>
      <c r="E3679" s="6" t="s">
        <v>9636</v>
      </c>
      <c r="F3679" s="6" t="s">
        <v>9661</v>
      </c>
      <c r="G3679" s="6" t="s">
        <v>16</v>
      </c>
      <c r="H3679" s="5">
        <v>4</v>
      </c>
      <c r="I3679" s="6" t="s">
        <v>9662</v>
      </c>
      <c r="J3679" s="5">
        <v>440</v>
      </c>
    </row>
    <row r="3680" s="2" customFormat="1" spans="1:10">
      <c r="A3680" s="6">
        <f>3678</f>
        <v>3678</v>
      </c>
      <c r="B3680" s="6" t="s">
        <v>9663</v>
      </c>
      <c r="C3680" s="6" t="s">
        <v>12</v>
      </c>
      <c r="D3680" s="6" t="s">
        <v>9344</v>
      </c>
      <c r="E3680" s="6" t="s">
        <v>9636</v>
      </c>
      <c r="F3680" s="6" t="s">
        <v>9664</v>
      </c>
      <c r="G3680" s="6" t="s">
        <v>16</v>
      </c>
      <c r="H3680" s="5">
        <v>2</v>
      </c>
      <c r="I3680" s="6" t="s">
        <v>9665</v>
      </c>
      <c r="J3680" s="5">
        <v>880</v>
      </c>
    </row>
    <row r="3681" s="2" customFormat="1" spans="1:10">
      <c r="A3681" s="6">
        <f>3679</f>
        <v>3679</v>
      </c>
      <c r="B3681" s="6" t="s">
        <v>9666</v>
      </c>
      <c r="C3681" s="6" t="s">
        <v>12</v>
      </c>
      <c r="D3681" s="6" t="s">
        <v>9344</v>
      </c>
      <c r="E3681" s="6" t="s">
        <v>9636</v>
      </c>
      <c r="F3681" s="6" t="s">
        <v>9667</v>
      </c>
      <c r="G3681" s="6" t="s">
        <v>16</v>
      </c>
      <c r="H3681" s="5">
        <v>3</v>
      </c>
      <c r="I3681" s="6" t="s">
        <v>9668</v>
      </c>
      <c r="J3681" s="5">
        <v>820</v>
      </c>
    </row>
    <row r="3682" s="2" customFormat="1" spans="1:10">
      <c r="A3682" s="6">
        <f>3680</f>
        <v>3680</v>
      </c>
      <c r="B3682" s="6" t="s">
        <v>9669</v>
      </c>
      <c r="C3682" s="6" t="s">
        <v>12</v>
      </c>
      <c r="D3682" s="6" t="s">
        <v>9344</v>
      </c>
      <c r="E3682" s="6" t="s">
        <v>9636</v>
      </c>
      <c r="F3682" s="6" t="s">
        <v>9670</v>
      </c>
      <c r="G3682" s="6" t="s">
        <v>16</v>
      </c>
      <c r="H3682" s="5">
        <v>1</v>
      </c>
      <c r="I3682" s="6" t="s">
        <v>9670</v>
      </c>
      <c r="J3682" s="5">
        <v>245</v>
      </c>
    </row>
    <row r="3683" s="2" customFormat="1" spans="1:10">
      <c r="A3683" s="6">
        <f>3681</f>
        <v>3681</v>
      </c>
      <c r="B3683" s="6" t="s">
        <v>9671</v>
      </c>
      <c r="C3683" s="6" t="s">
        <v>12</v>
      </c>
      <c r="D3683" s="6" t="s">
        <v>9344</v>
      </c>
      <c r="E3683" s="6" t="s">
        <v>9636</v>
      </c>
      <c r="F3683" s="6" t="s">
        <v>9672</v>
      </c>
      <c r="G3683" s="6" t="s">
        <v>16</v>
      </c>
      <c r="H3683" s="5">
        <v>3</v>
      </c>
      <c r="I3683" s="6" t="s">
        <v>9673</v>
      </c>
      <c r="J3683" s="5">
        <v>480</v>
      </c>
    </row>
    <row r="3684" s="2" customFormat="1" spans="1:10">
      <c r="A3684" s="6">
        <f>3682</f>
        <v>3682</v>
      </c>
      <c r="B3684" s="6" t="s">
        <v>9674</v>
      </c>
      <c r="C3684" s="6" t="s">
        <v>12</v>
      </c>
      <c r="D3684" s="6" t="s">
        <v>9344</v>
      </c>
      <c r="E3684" s="6" t="s">
        <v>9636</v>
      </c>
      <c r="F3684" s="6" t="s">
        <v>9675</v>
      </c>
      <c r="G3684" s="6" t="s">
        <v>16</v>
      </c>
      <c r="H3684" s="5">
        <v>1</v>
      </c>
      <c r="I3684" s="6" t="s">
        <v>9675</v>
      </c>
      <c r="J3684" s="5">
        <v>245</v>
      </c>
    </row>
    <row r="3685" s="2" customFormat="1" spans="1:10">
      <c r="A3685" s="6">
        <f>3683</f>
        <v>3683</v>
      </c>
      <c r="B3685" s="6" t="s">
        <v>9676</v>
      </c>
      <c r="C3685" s="6" t="s">
        <v>12</v>
      </c>
      <c r="D3685" s="6" t="s">
        <v>9344</v>
      </c>
      <c r="E3685" s="6" t="s">
        <v>9636</v>
      </c>
      <c r="F3685" s="6" t="s">
        <v>9677</v>
      </c>
      <c r="G3685" s="6" t="s">
        <v>16</v>
      </c>
      <c r="H3685" s="5">
        <v>1</v>
      </c>
      <c r="I3685" s="6" t="s">
        <v>9677</v>
      </c>
      <c r="J3685" s="5">
        <v>340</v>
      </c>
    </row>
    <row r="3686" s="2" customFormat="1" spans="1:10">
      <c r="A3686" s="6">
        <f>3684</f>
        <v>3684</v>
      </c>
      <c r="B3686" s="6" t="s">
        <v>9678</v>
      </c>
      <c r="C3686" s="6" t="s">
        <v>12</v>
      </c>
      <c r="D3686" s="6" t="s">
        <v>9344</v>
      </c>
      <c r="E3686" s="6" t="s">
        <v>9636</v>
      </c>
      <c r="F3686" s="6" t="s">
        <v>9679</v>
      </c>
      <c r="G3686" s="6" t="s">
        <v>16</v>
      </c>
      <c r="H3686" s="5">
        <v>1</v>
      </c>
      <c r="I3686" s="6" t="s">
        <v>9679</v>
      </c>
      <c r="J3686" s="5">
        <v>245</v>
      </c>
    </row>
    <row r="3687" s="2" customFormat="1" spans="1:10">
      <c r="A3687" s="6">
        <f>3685</f>
        <v>3685</v>
      </c>
      <c r="B3687" s="6" t="s">
        <v>9680</v>
      </c>
      <c r="C3687" s="6" t="s">
        <v>12</v>
      </c>
      <c r="D3687" s="6" t="s">
        <v>9344</v>
      </c>
      <c r="E3687" s="6" t="s">
        <v>9636</v>
      </c>
      <c r="F3687" s="6" t="s">
        <v>9681</v>
      </c>
      <c r="G3687" s="6" t="s">
        <v>16</v>
      </c>
      <c r="H3687" s="5">
        <v>3</v>
      </c>
      <c r="I3687" s="6" t="s">
        <v>9682</v>
      </c>
      <c r="J3687" s="5">
        <v>1220</v>
      </c>
    </row>
    <row r="3688" s="2" customFormat="1" ht="27" spans="1:10">
      <c r="A3688" s="6">
        <f>3686</f>
        <v>3686</v>
      </c>
      <c r="B3688" s="6" t="s">
        <v>9683</v>
      </c>
      <c r="C3688" s="6" t="s">
        <v>12</v>
      </c>
      <c r="D3688" s="6" t="s">
        <v>9344</v>
      </c>
      <c r="E3688" s="6" t="s">
        <v>9636</v>
      </c>
      <c r="F3688" s="6" t="s">
        <v>9684</v>
      </c>
      <c r="G3688" s="6" t="s">
        <v>16</v>
      </c>
      <c r="H3688" s="5">
        <v>4</v>
      </c>
      <c r="I3688" s="6" t="s">
        <v>9685</v>
      </c>
      <c r="J3688" s="5">
        <v>440</v>
      </c>
    </row>
    <row r="3689" s="2" customFormat="1" spans="1:10">
      <c r="A3689" s="6">
        <f>3687</f>
        <v>3687</v>
      </c>
      <c r="B3689" s="6" t="s">
        <v>9686</v>
      </c>
      <c r="C3689" s="6" t="s">
        <v>12</v>
      </c>
      <c r="D3689" s="6" t="s">
        <v>9344</v>
      </c>
      <c r="E3689" s="6" t="s">
        <v>9636</v>
      </c>
      <c r="F3689" s="6" t="s">
        <v>9687</v>
      </c>
      <c r="G3689" s="6" t="s">
        <v>16</v>
      </c>
      <c r="H3689" s="5">
        <v>1</v>
      </c>
      <c r="I3689" s="6" t="s">
        <v>9687</v>
      </c>
      <c r="J3689" s="5">
        <v>620</v>
      </c>
    </row>
    <row r="3690" s="2" customFormat="1" ht="27" spans="1:10">
      <c r="A3690" s="6">
        <f>3688</f>
        <v>3688</v>
      </c>
      <c r="B3690" s="6" t="s">
        <v>9688</v>
      </c>
      <c r="C3690" s="6" t="s">
        <v>12</v>
      </c>
      <c r="D3690" s="6" t="s">
        <v>9344</v>
      </c>
      <c r="E3690" s="6" t="s">
        <v>9636</v>
      </c>
      <c r="F3690" s="6" t="s">
        <v>9689</v>
      </c>
      <c r="G3690" s="6" t="s">
        <v>16</v>
      </c>
      <c r="H3690" s="5">
        <v>5</v>
      </c>
      <c r="I3690" s="6" t="s">
        <v>9690</v>
      </c>
      <c r="J3690" s="5">
        <v>560</v>
      </c>
    </row>
    <row r="3691" s="2" customFormat="1" spans="1:10">
      <c r="A3691" s="6">
        <f>3689</f>
        <v>3689</v>
      </c>
      <c r="B3691" s="6" t="s">
        <v>9691</v>
      </c>
      <c r="C3691" s="6" t="s">
        <v>12</v>
      </c>
      <c r="D3691" s="6" t="s">
        <v>9344</v>
      </c>
      <c r="E3691" s="6" t="s">
        <v>9636</v>
      </c>
      <c r="F3691" s="6" t="s">
        <v>9692</v>
      </c>
      <c r="G3691" s="6" t="s">
        <v>16</v>
      </c>
      <c r="H3691" s="5">
        <v>1</v>
      </c>
      <c r="I3691" s="6" t="s">
        <v>9692</v>
      </c>
      <c r="J3691" s="5">
        <v>245</v>
      </c>
    </row>
    <row r="3692" s="2" customFormat="1" spans="1:10">
      <c r="A3692" s="6">
        <f>3690</f>
        <v>3690</v>
      </c>
      <c r="B3692" s="6" t="s">
        <v>9693</v>
      </c>
      <c r="C3692" s="6" t="s">
        <v>12</v>
      </c>
      <c r="D3692" s="6" t="s">
        <v>9344</v>
      </c>
      <c r="E3692" s="6" t="s">
        <v>9636</v>
      </c>
      <c r="F3692" s="6" t="s">
        <v>9694</v>
      </c>
      <c r="G3692" s="6" t="s">
        <v>16</v>
      </c>
      <c r="H3692" s="5">
        <v>3</v>
      </c>
      <c r="I3692" s="6" t="s">
        <v>9695</v>
      </c>
      <c r="J3692" s="5">
        <v>380</v>
      </c>
    </row>
    <row r="3693" s="2" customFormat="1" spans="1:10">
      <c r="A3693" s="6">
        <f>3691</f>
        <v>3691</v>
      </c>
      <c r="B3693" s="6" t="s">
        <v>9696</v>
      </c>
      <c r="C3693" s="6" t="s">
        <v>12</v>
      </c>
      <c r="D3693" s="6" t="s">
        <v>9344</v>
      </c>
      <c r="E3693" s="6" t="s">
        <v>9636</v>
      </c>
      <c r="F3693" s="6" t="s">
        <v>9697</v>
      </c>
      <c r="G3693" s="6" t="s">
        <v>16</v>
      </c>
      <c r="H3693" s="5">
        <v>2</v>
      </c>
      <c r="I3693" s="6" t="s">
        <v>9698</v>
      </c>
      <c r="J3693" s="5">
        <v>1080</v>
      </c>
    </row>
    <row r="3694" s="2" customFormat="1" spans="1:10">
      <c r="A3694" s="6">
        <f>3692</f>
        <v>3692</v>
      </c>
      <c r="B3694" s="6" t="s">
        <v>9699</v>
      </c>
      <c r="C3694" s="6" t="s">
        <v>12</v>
      </c>
      <c r="D3694" s="6" t="s">
        <v>9344</v>
      </c>
      <c r="E3694" s="6" t="s">
        <v>9636</v>
      </c>
      <c r="F3694" s="6" t="s">
        <v>9700</v>
      </c>
      <c r="G3694" s="6" t="s">
        <v>16</v>
      </c>
      <c r="H3694" s="5">
        <v>1</v>
      </c>
      <c r="I3694" s="6" t="s">
        <v>9700</v>
      </c>
      <c r="J3694" s="5">
        <v>245</v>
      </c>
    </row>
    <row r="3695" s="2" customFormat="1" spans="1:10">
      <c r="A3695" s="6">
        <f>3693</f>
        <v>3693</v>
      </c>
      <c r="B3695" s="6" t="s">
        <v>9701</v>
      </c>
      <c r="C3695" s="6" t="s">
        <v>12</v>
      </c>
      <c r="D3695" s="6" t="s">
        <v>9344</v>
      </c>
      <c r="E3695" s="6" t="s">
        <v>9636</v>
      </c>
      <c r="F3695" s="6" t="s">
        <v>9702</v>
      </c>
      <c r="G3695" s="6" t="s">
        <v>16</v>
      </c>
      <c r="H3695" s="5">
        <v>1</v>
      </c>
      <c r="I3695" s="6" t="s">
        <v>9702</v>
      </c>
      <c r="J3695" s="5">
        <v>245</v>
      </c>
    </row>
    <row r="3696" s="2" customFormat="1" spans="1:10">
      <c r="A3696" s="6">
        <f>3694</f>
        <v>3694</v>
      </c>
      <c r="B3696" s="6" t="s">
        <v>9703</v>
      </c>
      <c r="C3696" s="6" t="s">
        <v>12</v>
      </c>
      <c r="D3696" s="6" t="s">
        <v>9344</v>
      </c>
      <c r="E3696" s="6" t="s">
        <v>9636</v>
      </c>
      <c r="F3696" s="6" t="s">
        <v>9704</v>
      </c>
      <c r="G3696" s="6" t="s">
        <v>16</v>
      </c>
      <c r="H3696" s="5">
        <v>1</v>
      </c>
      <c r="I3696" s="6" t="s">
        <v>9704</v>
      </c>
      <c r="J3696" s="5">
        <v>245</v>
      </c>
    </row>
    <row r="3697" s="2" customFormat="1" spans="1:10">
      <c r="A3697" s="6">
        <f>3695</f>
        <v>3695</v>
      </c>
      <c r="B3697" s="6" t="s">
        <v>9705</v>
      </c>
      <c r="C3697" s="6" t="s">
        <v>12</v>
      </c>
      <c r="D3697" s="6" t="s">
        <v>9344</v>
      </c>
      <c r="E3697" s="6" t="s">
        <v>9636</v>
      </c>
      <c r="F3697" s="6" t="s">
        <v>9706</v>
      </c>
      <c r="G3697" s="6" t="s">
        <v>16</v>
      </c>
      <c r="H3697" s="5">
        <v>2</v>
      </c>
      <c r="I3697" s="6" t="s">
        <v>9707</v>
      </c>
      <c r="J3697" s="5">
        <v>1080</v>
      </c>
    </row>
    <row r="3698" s="2" customFormat="1" spans="1:10">
      <c r="A3698" s="6">
        <f>3696</f>
        <v>3696</v>
      </c>
      <c r="B3698" s="6" t="s">
        <v>9708</v>
      </c>
      <c r="C3698" s="6" t="s">
        <v>12</v>
      </c>
      <c r="D3698" s="6" t="s">
        <v>9344</v>
      </c>
      <c r="E3698" s="6" t="s">
        <v>9636</v>
      </c>
      <c r="F3698" s="6" t="s">
        <v>9709</v>
      </c>
      <c r="G3698" s="6" t="s">
        <v>16</v>
      </c>
      <c r="H3698" s="5">
        <v>3</v>
      </c>
      <c r="I3698" s="6" t="s">
        <v>9710</v>
      </c>
      <c r="J3698" s="5">
        <v>990</v>
      </c>
    </row>
    <row r="3699" s="2" customFormat="1" spans="1:10">
      <c r="A3699" s="6">
        <f>3697</f>
        <v>3697</v>
      </c>
      <c r="B3699" s="6" t="s">
        <v>9711</v>
      </c>
      <c r="C3699" s="6" t="s">
        <v>12</v>
      </c>
      <c r="D3699" s="6" t="s">
        <v>9344</v>
      </c>
      <c r="E3699" s="6" t="s">
        <v>9636</v>
      </c>
      <c r="F3699" s="6" t="s">
        <v>9712</v>
      </c>
      <c r="G3699" s="6" t="s">
        <v>16</v>
      </c>
      <c r="H3699" s="5">
        <v>2</v>
      </c>
      <c r="I3699" s="6" t="s">
        <v>9713</v>
      </c>
      <c r="J3699" s="5">
        <v>880</v>
      </c>
    </row>
    <row r="3700" s="2" customFormat="1" spans="1:10">
      <c r="A3700" s="6">
        <f>3698</f>
        <v>3698</v>
      </c>
      <c r="B3700" s="6" t="s">
        <v>9714</v>
      </c>
      <c r="C3700" s="6" t="s">
        <v>12</v>
      </c>
      <c r="D3700" s="6" t="s">
        <v>9344</v>
      </c>
      <c r="E3700" s="6" t="s">
        <v>9636</v>
      </c>
      <c r="F3700" s="6" t="s">
        <v>9715</v>
      </c>
      <c r="G3700" s="6" t="s">
        <v>16</v>
      </c>
      <c r="H3700" s="5">
        <v>3</v>
      </c>
      <c r="I3700" s="6" t="s">
        <v>9716</v>
      </c>
      <c r="J3700" s="5">
        <v>380</v>
      </c>
    </row>
    <row r="3701" s="2" customFormat="1" spans="1:10">
      <c r="A3701" s="6">
        <f>3699</f>
        <v>3699</v>
      </c>
      <c r="B3701" s="6" t="s">
        <v>9717</v>
      </c>
      <c r="C3701" s="6" t="s">
        <v>12</v>
      </c>
      <c r="D3701" s="6" t="s">
        <v>9344</v>
      </c>
      <c r="E3701" s="6" t="s">
        <v>9636</v>
      </c>
      <c r="F3701" s="6" t="s">
        <v>9718</v>
      </c>
      <c r="G3701" s="6" t="s">
        <v>16</v>
      </c>
      <c r="H3701" s="5">
        <v>1</v>
      </c>
      <c r="I3701" s="6" t="s">
        <v>9718</v>
      </c>
      <c r="J3701" s="5">
        <v>245</v>
      </c>
    </row>
    <row r="3702" s="2" customFormat="1" spans="1:10">
      <c r="A3702" s="6">
        <f>3700</f>
        <v>3700</v>
      </c>
      <c r="B3702" s="6" t="s">
        <v>9719</v>
      </c>
      <c r="C3702" s="6" t="s">
        <v>12</v>
      </c>
      <c r="D3702" s="6" t="s">
        <v>9344</v>
      </c>
      <c r="E3702" s="6" t="s">
        <v>9636</v>
      </c>
      <c r="F3702" s="6" t="s">
        <v>9720</v>
      </c>
      <c r="G3702" s="6" t="s">
        <v>16</v>
      </c>
      <c r="H3702" s="5">
        <v>1</v>
      </c>
      <c r="I3702" s="6" t="s">
        <v>9720</v>
      </c>
      <c r="J3702" s="5">
        <v>245</v>
      </c>
    </row>
    <row r="3703" s="2" customFormat="1" spans="1:10">
      <c r="A3703" s="6">
        <f>3701</f>
        <v>3701</v>
      </c>
      <c r="B3703" s="6" t="s">
        <v>9721</v>
      </c>
      <c r="C3703" s="6" t="s">
        <v>12</v>
      </c>
      <c r="D3703" s="6" t="s">
        <v>9344</v>
      </c>
      <c r="E3703" s="6" t="s">
        <v>9636</v>
      </c>
      <c r="F3703" s="6" t="s">
        <v>9722</v>
      </c>
      <c r="G3703" s="6" t="s">
        <v>16</v>
      </c>
      <c r="H3703" s="5">
        <v>1</v>
      </c>
      <c r="I3703" s="6" t="s">
        <v>9722</v>
      </c>
      <c r="J3703" s="5">
        <v>245</v>
      </c>
    </row>
    <row r="3704" s="2" customFormat="1" spans="1:10">
      <c r="A3704" s="6">
        <f>3702</f>
        <v>3702</v>
      </c>
      <c r="B3704" s="6" t="s">
        <v>9723</v>
      </c>
      <c r="C3704" s="6" t="s">
        <v>12</v>
      </c>
      <c r="D3704" s="6" t="s">
        <v>9344</v>
      </c>
      <c r="E3704" s="6" t="s">
        <v>9636</v>
      </c>
      <c r="F3704" s="6" t="s">
        <v>9724</v>
      </c>
      <c r="G3704" s="6" t="s">
        <v>16</v>
      </c>
      <c r="H3704" s="5">
        <v>1</v>
      </c>
      <c r="I3704" s="6" t="s">
        <v>9724</v>
      </c>
      <c r="J3704" s="5">
        <v>245</v>
      </c>
    </row>
    <row r="3705" s="2" customFormat="1" spans="1:10">
      <c r="A3705" s="6">
        <f>3703</f>
        <v>3703</v>
      </c>
      <c r="B3705" s="6" t="s">
        <v>9725</v>
      </c>
      <c r="C3705" s="6" t="s">
        <v>12</v>
      </c>
      <c r="D3705" s="6" t="s">
        <v>9344</v>
      </c>
      <c r="E3705" s="6" t="s">
        <v>9636</v>
      </c>
      <c r="F3705" s="6" t="s">
        <v>9726</v>
      </c>
      <c r="G3705" s="6" t="s">
        <v>16</v>
      </c>
      <c r="H3705" s="5">
        <v>1</v>
      </c>
      <c r="I3705" s="6" t="s">
        <v>9726</v>
      </c>
      <c r="J3705" s="5">
        <v>360</v>
      </c>
    </row>
    <row r="3706" s="2" customFormat="1" spans="1:10">
      <c r="A3706" s="6">
        <f>3704</f>
        <v>3704</v>
      </c>
      <c r="B3706" s="6" t="s">
        <v>9727</v>
      </c>
      <c r="C3706" s="6" t="s">
        <v>12</v>
      </c>
      <c r="D3706" s="6" t="s">
        <v>9344</v>
      </c>
      <c r="E3706" s="6" t="s">
        <v>9636</v>
      </c>
      <c r="F3706" s="6" t="s">
        <v>9728</v>
      </c>
      <c r="G3706" s="6" t="s">
        <v>16</v>
      </c>
      <c r="H3706" s="5">
        <v>1</v>
      </c>
      <c r="I3706" s="6" t="s">
        <v>9728</v>
      </c>
      <c r="J3706" s="5">
        <v>245</v>
      </c>
    </row>
    <row r="3707" s="2" customFormat="1" spans="1:10">
      <c r="A3707" s="6">
        <f>3705</f>
        <v>3705</v>
      </c>
      <c r="B3707" s="6" t="s">
        <v>9729</v>
      </c>
      <c r="C3707" s="6" t="s">
        <v>12</v>
      </c>
      <c r="D3707" s="6" t="s">
        <v>9344</v>
      </c>
      <c r="E3707" s="6" t="s">
        <v>9636</v>
      </c>
      <c r="F3707" s="6" t="s">
        <v>9730</v>
      </c>
      <c r="G3707" s="6" t="s">
        <v>16</v>
      </c>
      <c r="H3707" s="5">
        <v>1</v>
      </c>
      <c r="I3707" s="6" t="s">
        <v>9730</v>
      </c>
      <c r="J3707" s="5">
        <v>245</v>
      </c>
    </row>
    <row r="3708" s="2" customFormat="1" spans="1:10">
      <c r="A3708" s="6">
        <f>3706</f>
        <v>3706</v>
      </c>
      <c r="B3708" s="6" t="s">
        <v>9731</v>
      </c>
      <c r="C3708" s="6" t="s">
        <v>12</v>
      </c>
      <c r="D3708" s="6" t="s">
        <v>9344</v>
      </c>
      <c r="E3708" s="6" t="s">
        <v>9636</v>
      </c>
      <c r="F3708" s="6" t="s">
        <v>9732</v>
      </c>
      <c r="G3708" s="6" t="s">
        <v>16</v>
      </c>
      <c r="H3708" s="5">
        <v>2</v>
      </c>
      <c r="I3708" s="6" t="s">
        <v>9733</v>
      </c>
      <c r="J3708" s="5">
        <v>340</v>
      </c>
    </row>
    <row r="3709" s="2" customFormat="1" spans="1:10">
      <c r="A3709" s="6">
        <f>3707</f>
        <v>3707</v>
      </c>
      <c r="B3709" s="6" t="s">
        <v>9734</v>
      </c>
      <c r="C3709" s="6" t="s">
        <v>12</v>
      </c>
      <c r="D3709" s="6" t="s">
        <v>9344</v>
      </c>
      <c r="E3709" s="6" t="s">
        <v>9636</v>
      </c>
      <c r="F3709" s="6" t="s">
        <v>9735</v>
      </c>
      <c r="G3709" s="6" t="s">
        <v>16</v>
      </c>
      <c r="H3709" s="5">
        <v>1</v>
      </c>
      <c r="I3709" s="6" t="s">
        <v>9735</v>
      </c>
      <c r="J3709" s="5">
        <v>245</v>
      </c>
    </row>
    <row r="3710" s="2" customFormat="1" spans="1:10">
      <c r="A3710" s="6">
        <f>3708</f>
        <v>3708</v>
      </c>
      <c r="B3710" s="6" t="s">
        <v>9736</v>
      </c>
      <c r="C3710" s="6" t="s">
        <v>12</v>
      </c>
      <c r="D3710" s="6" t="s">
        <v>9344</v>
      </c>
      <c r="E3710" s="6" t="s">
        <v>9636</v>
      </c>
      <c r="F3710" s="6" t="s">
        <v>9737</v>
      </c>
      <c r="G3710" s="6" t="s">
        <v>16</v>
      </c>
      <c r="H3710" s="5">
        <v>1</v>
      </c>
      <c r="I3710" s="6" t="s">
        <v>9737</v>
      </c>
      <c r="J3710" s="5">
        <v>245</v>
      </c>
    </row>
    <row r="3711" s="2" customFormat="1" spans="1:10">
      <c r="A3711" s="6">
        <f>3709</f>
        <v>3709</v>
      </c>
      <c r="B3711" s="6" t="s">
        <v>9738</v>
      </c>
      <c r="C3711" s="6" t="s">
        <v>12</v>
      </c>
      <c r="D3711" s="6" t="s">
        <v>9344</v>
      </c>
      <c r="E3711" s="6" t="s">
        <v>9636</v>
      </c>
      <c r="F3711" s="6" t="s">
        <v>9739</v>
      </c>
      <c r="G3711" s="6" t="s">
        <v>16</v>
      </c>
      <c r="H3711" s="5">
        <v>1</v>
      </c>
      <c r="I3711" s="6" t="s">
        <v>9739</v>
      </c>
      <c r="J3711" s="5">
        <v>500</v>
      </c>
    </row>
    <row r="3712" s="2" customFormat="1" spans="1:10">
      <c r="A3712" s="6">
        <f>3710</f>
        <v>3710</v>
      </c>
      <c r="B3712" s="6" t="s">
        <v>9740</v>
      </c>
      <c r="C3712" s="6" t="s">
        <v>12</v>
      </c>
      <c r="D3712" s="6" t="s">
        <v>9344</v>
      </c>
      <c r="E3712" s="6" t="s">
        <v>9636</v>
      </c>
      <c r="F3712" s="6" t="s">
        <v>9741</v>
      </c>
      <c r="G3712" s="6" t="s">
        <v>16</v>
      </c>
      <c r="H3712" s="5">
        <v>2</v>
      </c>
      <c r="I3712" s="6" t="s">
        <v>9742</v>
      </c>
      <c r="J3712" s="5">
        <v>520</v>
      </c>
    </row>
    <row r="3713" s="2" customFormat="1" spans="1:10">
      <c r="A3713" s="6">
        <f>3711</f>
        <v>3711</v>
      </c>
      <c r="B3713" s="6" t="s">
        <v>9743</v>
      </c>
      <c r="C3713" s="6" t="s">
        <v>12</v>
      </c>
      <c r="D3713" s="6" t="s">
        <v>9344</v>
      </c>
      <c r="E3713" s="6" t="s">
        <v>9636</v>
      </c>
      <c r="F3713" s="6" t="s">
        <v>9744</v>
      </c>
      <c r="G3713" s="6" t="s">
        <v>16</v>
      </c>
      <c r="H3713" s="5">
        <v>2</v>
      </c>
      <c r="I3713" s="6" t="s">
        <v>9745</v>
      </c>
      <c r="J3713" s="5">
        <v>420</v>
      </c>
    </row>
    <row r="3714" s="2" customFormat="1" spans="1:10">
      <c r="A3714" s="6">
        <f>3712</f>
        <v>3712</v>
      </c>
      <c r="B3714" s="6" t="s">
        <v>9746</v>
      </c>
      <c r="C3714" s="6" t="s">
        <v>12</v>
      </c>
      <c r="D3714" s="6" t="s">
        <v>9344</v>
      </c>
      <c r="E3714" s="6" t="s">
        <v>9636</v>
      </c>
      <c r="F3714" s="6" t="s">
        <v>9747</v>
      </c>
      <c r="G3714" s="6" t="s">
        <v>16</v>
      </c>
      <c r="H3714" s="5">
        <v>1</v>
      </c>
      <c r="I3714" s="6" t="s">
        <v>9747</v>
      </c>
      <c r="J3714" s="5">
        <v>248</v>
      </c>
    </row>
    <row r="3715" s="2" customFormat="1" ht="27" spans="1:10">
      <c r="A3715" s="6">
        <f>3713</f>
        <v>3713</v>
      </c>
      <c r="B3715" s="6" t="s">
        <v>9748</v>
      </c>
      <c r="C3715" s="6" t="s">
        <v>12</v>
      </c>
      <c r="D3715" s="6" t="s">
        <v>9344</v>
      </c>
      <c r="E3715" s="6" t="s">
        <v>9636</v>
      </c>
      <c r="F3715" s="6" t="s">
        <v>9749</v>
      </c>
      <c r="G3715" s="6" t="s">
        <v>16</v>
      </c>
      <c r="H3715" s="5">
        <v>4</v>
      </c>
      <c r="I3715" s="6" t="s">
        <v>9750</v>
      </c>
      <c r="J3715" s="5">
        <v>440</v>
      </c>
    </row>
    <row r="3716" s="2" customFormat="1" spans="1:10">
      <c r="A3716" s="6">
        <f>3714</f>
        <v>3714</v>
      </c>
      <c r="B3716" s="6" t="s">
        <v>9751</v>
      </c>
      <c r="C3716" s="6" t="s">
        <v>12</v>
      </c>
      <c r="D3716" s="6" t="s">
        <v>9344</v>
      </c>
      <c r="E3716" s="6" t="s">
        <v>9636</v>
      </c>
      <c r="F3716" s="6" t="s">
        <v>9752</v>
      </c>
      <c r="G3716" s="6" t="s">
        <v>16</v>
      </c>
      <c r="H3716" s="5">
        <v>1</v>
      </c>
      <c r="I3716" s="6" t="s">
        <v>9752</v>
      </c>
      <c r="J3716" s="5">
        <v>245</v>
      </c>
    </row>
    <row r="3717" s="2" customFormat="1" spans="1:10">
      <c r="A3717" s="6">
        <f>3715</f>
        <v>3715</v>
      </c>
      <c r="B3717" s="6" t="s">
        <v>9753</v>
      </c>
      <c r="C3717" s="6" t="s">
        <v>12</v>
      </c>
      <c r="D3717" s="6" t="s">
        <v>9344</v>
      </c>
      <c r="E3717" s="6" t="s">
        <v>9636</v>
      </c>
      <c r="F3717" s="6" t="s">
        <v>9754</v>
      </c>
      <c r="G3717" s="6" t="s">
        <v>16</v>
      </c>
      <c r="H3717" s="5">
        <v>3</v>
      </c>
      <c r="I3717" s="6" t="s">
        <v>9755</v>
      </c>
      <c r="J3717" s="5">
        <v>380</v>
      </c>
    </row>
    <row r="3718" s="2" customFormat="1" spans="1:10">
      <c r="A3718" s="6">
        <f>3716</f>
        <v>3716</v>
      </c>
      <c r="B3718" s="6" t="s">
        <v>9756</v>
      </c>
      <c r="C3718" s="6" t="s">
        <v>12</v>
      </c>
      <c r="D3718" s="6" t="s">
        <v>9344</v>
      </c>
      <c r="E3718" s="6" t="s">
        <v>9636</v>
      </c>
      <c r="F3718" s="6" t="s">
        <v>9757</v>
      </c>
      <c r="G3718" s="6" t="s">
        <v>16</v>
      </c>
      <c r="H3718" s="5">
        <v>1</v>
      </c>
      <c r="I3718" s="6" t="s">
        <v>9757</v>
      </c>
      <c r="J3718" s="5">
        <v>245</v>
      </c>
    </row>
    <row r="3719" s="2" customFormat="1" spans="1:10">
      <c r="A3719" s="6">
        <f>3717</f>
        <v>3717</v>
      </c>
      <c r="B3719" s="6" t="s">
        <v>9758</v>
      </c>
      <c r="C3719" s="6" t="s">
        <v>12</v>
      </c>
      <c r="D3719" s="6" t="s">
        <v>9344</v>
      </c>
      <c r="E3719" s="6" t="s">
        <v>9759</v>
      </c>
      <c r="F3719" s="6" t="s">
        <v>9760</v>
      </c>
      <c r="G3719" s="6" t="s">
        <v>16</v>
      </c>
      <c r="H3719" s="5">
        <v>1</v>
      </c>
      <c r="I3719" s="6" t="s">
        <v>9760</v>
      </c>
      <c r="J3719" s="5">
        <v>573</v>
      </c>
    </row>
    <row r="3720" s="2" customFormat="1" spans="1:10">
      <c r="A3720" s="6">
        <f>3718</f>
        <v>3718</v>
      </c>
      <c r="B3720" s="6" t="s">
        <v>9761</v>
      </c>
      <c r="C3720" s="6" t="s">
        <v>12</v>
      </c>
      <c r="D3720" s="6" t="s">
        <v>9344</v>
      </c>
      <c r="E3720" s="6" t="s">
        <v>9759</v>
      </c>
      <c r="F3720" s="6" t="s">
        <v>9762</v>
      </c>
      <c r="G3720" s="6" t="s">
        <v>16</v>
      </c>
      <c r="H3720" s="5">
        <v>3</v>
      </c>
      <c r="I3720" s="6" t="s">
        <v>9763</v>
      </c>
      <c r="J3720" s="5">
        <v>480</v>
      </c>
    </row>
    <row r="3721" s="2" customFormat="1" spans="1:10">
      <c r="A3721" s="6">
        <f>3719</f>
        <v>3719</v>
      </c>
      <c r="B3721" s="6" t="s">
        <v>9764</v>
      </c>
      <c r="C3721" s="6" t="s">
        <v>12</v>
      </c>
      <c r="D3721" s="6" t="s">
        <v>9344</v>
      </c>
      <c r="E3721" s="6" t="s">
        <v>9759</v>
      </c>
      <c r="F3721" s="6" t="s">
        <v>9765</v>
      </c>
      <c r="G3721" s="6" t="s">
        <v>16</v>
      </c>
      <c r="H3721" s="5">
        <v>3</v>
      </c>
      <c r="I3721" s="6" t="s">
        <v>9766</v>
      </c>
      <c r="J3721" s="5">
        <v>680</v>
      </c>
    </row>
    <row r="3722" s="2" customFormat="1" spans="1:10">
      <c r="A3722" s="6">
        <f>3720</f>
        <v>3720</v>
      </c>
      <c r="B3722" s="6" t="s">
        <v>9767</v>
      </c>
      <c r="C3722" s="6" t="s">
        <v>12</v>
      </c>
      <c r="D3722" s="6" t="s">
        <v>9344</v>
      </c>
      <c r="E3722" s="6" t="s">
        <v>9759</v>
      </c>
      <c r="F3722" s="6" t="s">
        <v>9768</v>
      </c>
      <c r="G3722" s="6" t="s">
        <v>16</v>
      </c>
      <c r="H3722" s="5">
        <v>3</v>
      </c>
      <c r="I3722" s="6" t="s">
        <v>9769</v>
      </c>
      <c r="J3722" s="5">
        <v>980</v>
      </c>
    </row>
    <row r="3723" s="2" customFormat="1" spans="1:10">
      <c r="A3723" s="6">
        <f>3721</f>
        <v>3721</v>
      </c>
      <c r="B3723" s="6" t="s">
        <v>9770</v>
      </c>
      <c r="C3723" s="6" t="s">
        <v>12</v>
      </c>
      <c r="D3723" s="6" t="s">
        <v>9344</v>
      </c>
      <c r="E3723" s="6" t="s">
        <v>9759</v>
      </c>
      <c r="F3723" s="6" t="s">
        <v>9771</v>
      </c>
      <c r="G3723" s="6" t="s">
        <v>16</v>
      </c>
      <c r="H3723" s="5">
        <v>1</v>
      </c>
      <c r="I3723" s="6" t="s">
        <v>9771</v>
      </c>
      <c r="J3723" s="5">
        <v>540</v>
      </c>
    </row>
    <row r="3724" s="2" customFormat="1" spans="1:10">
      <c r="A3724" s="6">
        <f>3722</f>
        <v>3722</v>
      </c>
      <c r="B3724" s="6" t="s">
        <v>9772</v>
      </c>
      <c r="C3724" s="6" t="s">
        <v>12</v>
      </c>
      <c r="D3724" s="6" t="s">
        <v>9344</v>
      </c>
      <c r="E3724" s="6" t="s">
        <v>9759</v>
      </c>
      <c r="F3724" s="6" t="s">
        <v>9773</v>
      </c>
      <c r="G3724" s="6" t="s">
        <v>16</v>
      </c>
      <c r="H3724" s="5">
        <v>3</v>
      </c>
      <c r="I3724" s="6" t="s">
        <v>9774</v>
      </c>
      <c r="J3724" s="5">
        <v>780</v>
      </c>
    </row>
    <row r="3725" s="2" customFormat="1" spans="1:10">
      <c r="A3725" s="6">
        <f>3723</f>
        <v>3723</v>
      </c>
      <c r="B3725" s="6" t="s">
        <v>9775</v>
      </c>
      <c r="C3725" s="6" t="s">
        <v>12</v>
      </c>
      <c r="D3725" s="6" t="s">
        <v>9344</v>
      </c>
      <c r="E3725" s="6" t="s">
        <v>9759</v>
      </c>
      <c r="F3725" s="6" t="s">
        <v>9776</v>
      </c>
      <c r="G3725" s="6" t="s">
        <v>16</v>
      </c>
      <c r="H3725" s="5">
        <v>1</v>
      </c>
      <c r="I3725" s="6" t="s">
        <v>9776</v>
      </c>
      <c r="J3725" s="5">
        <v>250</v>
      </c>
    </row>
    <row r="3726" s="2" customFormat="1" spans="1:10">
      <c r="A3726" s="6">
        <f>3724</f>
        <v>3724</v>
      </c>
      <c r="B3726" s="6" t="s">
        <v>9777</v>
      </c>
      <c r="C3726" s="6" t="s">
        <v>12</v>
      </c>
      <c r="D3726" s="6" t="s">
        <v>9344</v>
      </c>
      <c r="E3726" s="6" t="s">
        <v>9759</v>
      </c>
      <c r="F3726" s="6" t="s">
        <v>9778</v>
      </c>
      <c r="G3726" s="6" t="s">
        <v>16</v>
      </c>
      <c r="H3726" s="5">
        <v>1</v>
      </c>
      <c r="I3726" s="6" t="s">
        <v>9778</v>
      </c>
      <c r="J3726" s="5">
        <v>250</v>
      </c>
    </row>
    <row r="3727" s="2" customFormat="1" spans="1:10">
      <c r="A3727" s="6">
        <f>3725</f>
        <v>3725</v>
      </c>
      <c r="B3727" s="6" t="s">
        <v>9779</v>
      </c>
      <c r="C3727" s="6" t="s">
        <v>12</v>
      </c>
      <c r="D3727" s="6" t="s">
        <v>9344</v>
      </c>
      <c r="E3727" s="6" t="s">
        <v>9759</v>
      </c>
      <c r="F3727" s="6" t="s">
        <v>9780</v>
      </c>
      <c r="G3727" s="6" t="s">
        <v>16</v>
      </c>
      <c r="H3727" s="5">
        <v>2</v>
      </c>
      <c r="I3727" s="6" t="s">
        <v>9781</v>
      </c>
      <c r="J3727" s="5">
        <v>490</v>
      </c>
    </row>
    <row r="3728" s="2" customFormat="1" spans="1:10">
      <c r="A3728" s="6">
        <f>3726</f>
        <v>3726</v>
      </c>
      <c r="B3728" s="6" t="s">
        <v>9782</v>
      </c>
      <c r="C3728" s="6" t="s">
        <v>12</v>
      </c>
      <c r="D3728" s="6" t="s">
        <v>9344</v>
      </c>
      <c r="E3728" s="6" t="s">
        <v>9759</v>
      </c>
      <c r="F3728" s="6" t="s">
        <v>9783</v>
      </c>
      <c r="G3728" s="6" t="s">
        <v>16</v>
      </c>
      <c r="H3728" s="5">
        <v>1</v>
      </c>
      <c r="I3728" s="6" t="s">
        <v>9783</v>
      </c>
      <c r="J3728" s="5">
        <v>620</v>
      </c>
    </row>
    <row r="3729" s="2" customFormat="1" ht="27" spans="1:10">
      <c r="A3729" s="6">
        <f>3727</f>
        <v>3727</v>
      </c>
      <c r="B3729" s="6" t="s">
        <v>9784</v>
      </c>
      <c r="C3729" s="6" t="s">
        <v>12</v>
      </c>
      <c r="D3729" s="6" t="s">
        <v>9344</v>
      </c>
      <c r="E3729" s="6" t="s">
        <v>9759</v>
      </c>
      <c r="F3729" s="6" t="s">
        <v>9785</v>
      </c>
      <c r="G3729" s="6" t="s">
        <v>16</v>
      </c>
      <c r="H3729" s="5">
        <v>4</v>
      </c>
      <c r="I3729" s="6" t="s">
        <v>9786</v>
      </c>
      <c r="J3729" s="5">
        <v>640</v>
      </c>
    </row>
    <row r="3730" s="2" customFormat="1" spans="1:10">
      <c r="A3730" s="6">
        <f>3728</f>
        <v>3728</v>
      </c>
      <c r="B3730" s="6" t="s">
        <v>9787</v>
      </c>
      <c r="C3730" s="6" t="s">
        <v>12</v>
      </c>
      <c r="D3730" s="6" t="s">
        <v>9344</v>
      </c>
      <c r="E3730" s="6" t="s">
        <v>9759</v>
      </c>
      <c r="F3730" s="6" t="s">
        <v>9788</v>
      </c>
      <c r="G3730" s="6" t="s">
        <v>16</v>
      </c>
      <c r="H3730" s="5">
        <v>3</v>
      </c>
      <c r="I3730" s="6" t="s">
        <v>9789</v>
      </c>
      <c r="J3730" s="5">
        <v>380</v>
      </c>
    </row>
    <row r="3731" s="2" customFormat="1" spans="1:10">
      <c r="A3731" s="6">
        <f>3729</f>
        <v>3729</v>
      </c>
      <c r="B3731" s="6" t="s">
        <v>9790</v>
      </c>
      <c r="C3731" s="6" t="s">
        <v>12</v>
      </c>
      <c r="D3731" s="6" t="s">
        <v>9344</v>
      </c>
      <c r="E3731" s="6" t="s">
        <v>9759</v>
      </c>
      <c r="F3731" s="6" t="s">
        <v>9791</v>
      </c>
      <c r="G3731" s="6" t="s">
        <v>16</v>
      </c>
      <c r="H3731" s="5">
        <v>1</v>
      </c>
      <c r="I3731" s="6" t="s">
        <v>9791</v>
      </c>
      <c r="J3731" s="5">
        <v>250</v>
      </c>
    </row>
    <row r="3732" s="2" customFormat="1" spans="1:10">
      <c r="A3732" s="6">
        <f>3730</f>
        <v>3730</v>
      </c>
      <c r="B3732" s="6" t="s">
        <v>9792</v>
      </c>
      <c r="C3732" s="6" t="s">
        <v>12</v>
      </c>
      <c r="D3732" s="6" t="s">
        <v>9344</v>
      </c>
      <c r="E3732" s="6" t="s">
        <v>9759</v>
      </c>
      <c r="F3732" s="6" t="s">
        <v>9793</v>
      </c>
      <c r="G3732" s="6" t="s">
        <v>16</v>
      </c>
      <c r="H3732" s="5">
        <v>3</v>
      </c>
      <c r="I3732" s="6" t="s">
        <v>9794</v>
      </c>
      <c r="J3732" s="5">
        <v>765</v>
      </c>
    </row>
    <row r="3733" s="2" customFormat="1" ht="27" spans="1:10">
      <c r="A3733" s="6">
        <f>3731</f>
        <v>3731</v>
      </c>
      <c r="B3733" s="6" t="s">
        <v>9795</v>
      </c>
      <c r="C3733" s="6" t="s">
        <v>12</v>
      </c>
      <c r="D3733" s="6" t="s">
        <v>9344</v>
      </c>
      <c r="E3733" s="6" t="s">
        <v>9759</v>
      </c>
      <c r="F3733" s="6" t="s">
        <v>9796</v>
      </c>
      <c r="G3733" s="6" t="s">
        <v>16</v>
      </c>
      <c r="H3733" s="5">
        <v>4</v>
      </c>
      <c r="I3733" s="6" t="s">
        <v>9797</v>
      </c>
      <c r="J3733" s="5">
        <v>540</v>
      </c>
    </row>
    <row r="3734" s="2" customFormat="1" spans="1:10">
      <c r="A3734" s="6">
        <f>3732</f>
        <v>3732</v>
      </c>
      <c r="B3734" s="6" t="s">
        <v>9798</v>
      </c>
      <c r="C3734" s="6" t="s">
        <v>12</v>
      </c>
      <c r="D3734" s="6" t="s">
        <v>9344</v>
      </c>
      <c r="E3734" s="6" t="s">
        <v>9759</v>
      </c>
      <c r="F3734" s="6" t="s">
        <v>9799</v>
      </c>
      <c r="G3734" s="6" t="s">
        <v>16</v>
      </c>
      <c r="H3734" s="5">
        <v>1</v>
      </c>
      <c r="I3734" s="6" t="s">
        <v>9799</v>
      </c>
      <c r="J3734" s="5">
        <v>260</v>
      </c>
    </row>
    <row r="3735" s="2" customFormat="1" spans="1:10">
      <c r="A3735" s="6">
        <f>3733</f>
        <v>3733</v>
      </c>
      <c r="B3735" s="6" t="s">
        <v>9800</v>
      </c>
      <c r="C3735" s="6" t="s">
        <v>12</v>
      </c>
      <c r="D3735" s="6" t="s">
        <v>9344</v>
      </c>
      <c r="E3735" s="6" t="s">
        <v>9759</v>
      </c>
      <c r="F3735" s="6" t="s">
        <v>9801</v>
      </c>
      <c r="G3735" s="6" t="s">
        <v>16</v>
      </c>
      <c r="H3735" s="5">
        <v>1</v>
      </c>
      <c r="I3735" s="6" t="s">
        <v>9801</v>
      </c>
      <c r="J3735" s="5">
        <v>380</v>
      </c>
    </row>
    <row r="3736" s="2" customFormat="1" spans="1:10">
      <c r="A3736" s="6">
        <f>3734</f>
        <v>3734</v>
      </c>
      <c r="B3736" s="6" t="s">
        <v>9802</v>
      </c>
      <c r="C3736" s="6" t="s">
        <v>12</v>
      </c>
      <c r="D3736" s="6" t="s">
        <v>9344</v>
      </c>
      <c r="E3736" s="6" t="s">
        <v>9759</v>
      </c>
      <c r="F3736" s="6" t="s">
        <v>9803</v>
      </c>
      <c r="G3736" s="6" t="s">
        <v>16</v>
      </c>
      <c r="H3736" s="5">
        <v>3</v>
      </c>
      <c r="I3736" s="6" t="s">
        <v>9804</v>
      </c>
      <c r="J3736" s="5">
        <v>1320</v>
      </c>
    </row>
    <row r="3737" s="2" customFormat="1" spans="1:10">
      <c r="A3737" s="6">
        <f>3735</f>
        <v>3735</v>
      </c>
      <c r="B3737" s="6" t="s">
        <v>9805</v>
      </c>
      <c r="C3737" s="6" t="s">
        <v>12</v>
      </c>
      <c r="D3737" s="6" t="s">
        <v>9344</v>
      </c>
      <c r="E3737" s="6" t="s">
        <v>9759</v>
      </c>
      <c r="F3737" s="6" t="s">
        <v>9806</v>
      </c>
      <c r="G3737" s="6" t="s">
        <v>16</v>
      </c>
      <c r="H3737" s="5">
        <v>1</v>
      </c>
      <c r="I3737" s="6" t="s">
        <v>9806</v>
      </c>
      <c r="J3737" s="5">
        <v>250</v>
      </c>
    </row>
    <row r="3738" s="2" customFormat="1" ht="27" spans="1:10">
      <c r="A3738" s="6">
        <f>3736</f>
        <v>3736</v>
      </c>
      <c r="B3738" s="6" t="s">
        <v>9807</v>
      </c>
      <c r="C3738" s="6" t="s">
        <v>12</v>
      </c>
      <c r="D3738" s="6" t="s">
        <v>9344</v>
      </c>
      <c r="E3738" s="6" t="s">
        <v>9759</v>
      </c>
      <c r="F3738" s="6" t="s">
        <v>8223</v>
      </c>
      <c r="G3738" s="6" t="s">
        <v>16</v>
      </c>
      <c r="H3738" s="5">
        <v>5</v>
      </c>
      <c r="I3738" s="6" t="s">
        <v>9808</v>
      </c>
      <c r="J3738" s="5">
        <v>500</v>
      </c>
    </row>
    <row r="3739" s="2" customFormat="1" spans="1:10">
      <c r="A3739" s="6">
        <f>3737</f>
        <v>3737</v>
      </c>
      <c r="B3739" s="6" t="s">
        <v>9809</v>
      </c>
      <c r="C3739" s="6" t="s">
        <v>12</v>
      </c>
      <c r="D3739" s="6" t="s">
        <v>9344</v>
      </c>
      <c r="E3739" s="6" t="s">
        <v>9759</v>
      </c>
      <c r="F3739" s="6" t="s">
        <v>9810</v>
      </c>
      <c r="G3739" s="6" t="s">
        <v>16</v>
      </c>
      <c r="H3739" s="5">
        <v>3</v>
      </c>
      <c r="I3739" s="6" t="s">
        <v>9811</v>
      </c>
      <c r="J3739" s="5">
        <v>380</v>
      </c>
    </row>
    <row r="3740" s="2" customFormat="1" spans="1:10">
      <c r="A3740" s="6">
        <f>3738</f>
        <v>3738</v>
      </c>
      <c r="B3740" s="6" t="s">
        <v>9812</v>
      </c>
      <c r="C3740" s="6" t="s">
        <v>12</v>
      </c>
      <c r="D3740" s="6" t="s">
        <v>9344</v>
      </c>
      <c r="E3740" s="6" t="s">
        <v>9759</v>
      </c>
      <c r="F3740" s="6" t="s">
        <v>9813</v>
      </c>
      <c r="G3740" s="6" t="s">
        <v>16</v>
      </c>
      <c r="H3740" s="5">
        <v>1</v>
      </c>
      <c r="I3740" s="6" t="s">
        <v>9813</v>
      </c>
      <c r="J3740" s="5">
        <v>245</v>
      </c>
    </row>
    <row r="3741" s="2" customFormat="1" spans="1:10">
      <c r="A3741" s="6">
        <f>3739</f>
        <v>3739</v>
      </c>
      <c r="B3741" s="6" t="s">
        <v>9814</v>
      </c>
      <c r="C3741" s="6" t="s">
        <v>12</v>
      </c>
      <c r="D3741" s="6" t="s">
        <v>9344</v>
      </c>
      <c r="E3741" s="6" t="s">
        <v>9759</v>
      </c>
      <c r="F3741" s="6" t="s">
        <v>9815</v>
      </c>
      <c r="G3741" s="6" t="s">
        <v>16</v>
      </c>
      <c r="H3741" s="5">
        <v>1</v>
      </c>
      <c r="I3741" s="6" t="s">
        <v>9815</v>
      </c>
      <c r="J3741" s="5">
        <v>245</v>
      </c>
    </row>
    <row r="3742" s="2" customFormat="1" ht="27" spans="1:10">
      <c r="A3742" s="6">
        <f>3740</f>
        <v>3740</v>
      </c>
      <c r="B3742" s="6" t="s">
        <v>9816</v>
      </c>
      <c r="C3742" s="6" t="s">
        <v>12</v>
      </c>
      <c r="D3742" s="6" t="s">
        <v>9344</v>
      </c>
      <c r="E3742" s="6" t="s">
        <v>9759</v>
      </c>
      <c r="F3742" s="6" t="s">
        <v>9817</v>
      </c>
      <c r="G3742" s="6" t="s">
        <v>16</v>
      </c>
      <c r="H3742" s="5">
        <v>4</v>
      </c>
      <c r="I3742" s="6" t="s">
        <v>9818</v>
      </c>
      <c r="J3742" s="5">
        <v>760</v>
      </c>
    </row>
    <row r="3743" s="2" customFormat="1" spans="1:10">
      <c r="A3743" s="6">
        <f>3741</f>
        <v>3741</v>
      </c>
      <c r="B3743" s="6" t="s">
        <v>9819</v>
      </c>
      <c r="C3743" s="6" t="s">
        <v>12</v>
      </c>
      <c r="D3743" s="6" t="s">
        <v>9344</v>
      </c>
      <c r="E3743" s="6" t="s">
        <v>9759</v>
      </c>
      <c r="F3743" s="6" t="s">
        <v>9820</v>
      </c>
      <c r="G3743" s="6" t="s">
        <v>16</v>
      </c>
      <c r="H3743" s="5">
        <v>3</v>
      </c>
      <c r="I3743" s="6" t="s">
        <v>9821</v>
      </c>
      <c r="J3743" s="5">
        <v>510</v>
      </c>
    </row>
    <row r="3744" s="2" customFormat="1" spans="1:10">
      <c r="A3744" s="6">
        <f>3742</f>
        <v>3742</v>
      </c>
      <c r="B3744" s="6" t="s">
        <v>9822</v>
      </c>
      <c r="C3744" s="6" t="s">
        <v>12</v>
      </c>
      <c r="D3744" s="6" t="s">
        <v>9344</v>
      </c>
      <c r="E3744" s="6" t="s">
        <v>9759</v>
      </c>
      <c r="F3744" s="6" t="s">
        <v>9823</v>
      </c>
      <c r="G3744" s="6" t="s">
        <v>16</v>
      </c>
      <c r="H3744" s="5">
        <v>1</v>
      </c>
      <c r="I3744" s="6" t="s">
        <v>9823</v>
      </c>
      <c r="J3744" s="5">
        <v>245</v>
      </c>
    </row>
    <row r="3745" s="2" customFormat="1" spans="1:10">
      <c r="A3745" s="6">
        <f>3743</f>
        <v>3743</v>
      </c>
      <c r="B3745" s="6" t="s">
        <v>9824</v>
      </c>
      <c r="C3745" s="6" t="s">
        <v>12</v>
      </c>
      <c r="D3745" s="6" t="s">
        <v>9344</v>
      </c>
      <c r="E3745" s="6" t="s">
        <v>9759</v>
      </c>
      <c r="F3745" s="6" t="s">
        <v>9825</v>
      </c>
      <c r="G3745" s="6" t="s">
        <v>16</v>
      </c>
      <c r="H3745" s="5">
        <v>1</v>
      </c>
      <c r="I3745" s="6" t="s">
        <v>9825</v>
      </c>
      <c r="J3745" s="5">
        <v>245</v>
      </c>
    </row>
    <row r="3746" s="2" customFormat="1" spans="1:10">
      <c r="A3746" s="6">
        <f>3744</f>
        <v>3744</v>
      </c>
      <c r="B3746" s="6" t="s">
        <v>9826</v>
      </c>
      <c r="C3746" s="6" t="s">
        <v>12</v>
      </c>
      <c r="D3746" s="6" t="s">
        <v>9344</v>
      </c>
      <c r="E3746" s="6" t="s">
        <v>9759</v>
      </c>
      <c r="F3746" s="6" t="s">
        <v>9827</v>
      </c>
      <c r="G3746" s="6" t="s">
        <v>16</v>
      </c>
      <c r="H3746" s="5">
        <v>1</v>
      </c>
      <c r="I3746" s="6" t="s">
        <v>9827</v>
      </c>
      <c r="J3746" s="5">
        <v>540</v>
      </c>
    </row>
    <row r="3747" s="2" customFormat="1" spans="1:10">
      <c r="A3747" s="6">
        <f>3745</f>
        <v>3745</v>
      </c>
      <c r="B3747" s="6" t="s">
        <v>9828</v>
      </c>
      <c r="C3747" s="6" t="s">
        <v>12</v>
      </c>
      <c r="D3747" s="6" t="s">
        <v>9344</v>
      </c>
      <c r="E3747" s="6" t="s">
        <v>9759</v>
      </c>
      <c r="F3747" s="6" t="s">
        <v>9829</v>
      </c>
      <c r="G3747" s="6" t="s">
        <v>16</v>
      </c>
      <c r="H3747" s="5">
        <v>1</v>
      </c>
      <c r="I3747" s="6" t="s">
        <v>9829</v>
      </c>
      <c r="J3747" s="5">
        <v>245</v>
      </c>
    </row>
    <row r="3748" s="2" customFormat="1" spans="1:10">
      <c r="A3748" s="6">
        <f>3746</f>
        <v>3746</v>
      </c>
      <c r="B3748" s="6" t="s">
        <v>9830</v>
      </c>
      <c r="C3748" s="6" t="s">
        <v>12</v>
      </c>
      <c r="D3748" s="6" t="s">
        <v>9344</v>
      </c>
      <c r="E3748" s="6" t="s">
        <v>9759</v>
      </c>
      <c r="F3748" s="6" t="s">
        <v>9831</v>
      </c>
      <c r="G3748" s="6" t="s">
        <v>16</v>
      </c>
      <c r="H3748" s="5">
        <v>2</v>
      </c>
      <c r="I3748" s="6" t="s">
        <v>9832</v>
      </c>
      <c r="J3748" s="5">
        <v>320</v>
      </c>
    </row>
    <row r="3749" s="2" customFormat="1" spans="1:10">
      <c r="A3749" s="6">
        <f>3747</f>
        <v>3747</v>
      </c>
      <c r="B3749" s="6" t="s">
        <v>9833</v>
      </c>
      <c r="C3749" s="6" t="s">
        <v>12</v>
      </c>
      <c r="D3749" s="6" t="s">
        <v>9344</v>
      </c>
      <c r="E3749" s="6" t="s">
        <v>9759</v>
      </c>
      <c r="F3749" s="6" t="s">
        <v>7009</v>
      </c>
      <c r="G3749" s="6" t="s">
        <v>16</v>
      </c>
      <c r="H3749" s="5">
        <v>1</v>
      </c>
      <c r="I3749" s="6" t="s">
        <v>7009</v>
      </c>
      <c r="J3749" s="5">
        <v>245</v>
      </c>
    </row>
    <row r="3750" s="2" customFormat="1" spans="1:10">
      <c r="A3750" s="6">
        <f>3748</f>
        <v>3748</v>
      </c>
      <c r="B3750" s="6" t="s">
        <v>9834</v>
      </c>
      <c r="C3750" s="6" t="s">
        <v>12</v>
      </c>
      <c r="D3750" s="6" t="s">
        <v>9344</v>
      </c>
      <c r="E3750" s="6" t="s">
        <v>9759</v>
      </c>
      <c r="F3750" s="6" t="s">
        <v>9835</v>
      </c>
      <c r="G3750" s="6" t="s">
        <v>16</v>
      </c>
      <c r="H3750" s="5">
        <v>1</v>
      </c>
      <c r="I3750" s="6" t="s">
        <v>9835</v>
      </c>
      <c r="J3750" s="5">
        <v>360</v>
      </c>
    </row>
    <row r="3751" s="2" customFormat="1" spans="1:10">
      <c r="A3751" s="6">
        <f>3749</f>
        <v>3749</v>
      </c>
      <c r="B3751" s="6" t="s">
        <v>9836</v>
      </c>
      <c r="C3751" s="6" t="s">
        <v>12</v>
      </c>
      <c r="D3751" s="6" t="s">
        <v>9344</v>
      </c>
      <c r="E3751" s="6" t="s">
        <v>9759</v>
      </c>
      <c r="F3751" s="6" t="s">
        <v>9837</v>
      </c>
      <c r="G3751" s="6" t="s">
        <v>16</v>
      </c>
      <c r="H3751" s="5">
        <v>1</v>
      </c>
      <c r="I3751" s="6" t="s">
        <v>9837</v>
      </c>
      <c r="J3751" s="5">
        <v>245</v>
      </c>
    </row>
    <row r="3752" s="2" customFormat="1" spans="1:10">
      <c r="A3752" s="6">
        <f>3750</f>
        <v>3750</v>
      </c>
      <c r="B3752" s="6" t="s">
        <v>9838</v>
      </c>
      <c r="C3752" s="6" t="s">
        <v>12</v>
      </c>
      <c r="D3752" s="6" t="s">
        <v>9344</v>
      </c>
      <c r="E3752" s="6" t="s">
        <v>9759</v>
      </c>
      <c r="F3752" s="6" t="s">
        <v>9839</v>
      </c>
      <c r="G3752" s="6" t="s">
        <v>16</v>
      </c>
      <c r="H3752" s="5">
        <v>3</v>
      </c>
      <c r="I3752" s="6" t="s">
        <v>9840</v>
      </c>
      <c r="J3752" s="5">
        <v>800</v>
      </c>
    </row>
    <row r="3753" s="2" customFormat="1" ht="27" spans="1:10">
      <c r="A3753" s="6">
        <f>3751</f>
        <v>3751</v>
      </c>
      <c r="B3753" s="6" t="s">
        <v>9841</v>
      </c>
      <c r="C3753" s="6" t="s">
        <v>12</v>
      </c>
      <c r="D3753" s="6" t="s">
        <v>9344</v>
      </c>
      <c r="E3753" s="6" t="s">
        <v>9759</v>
      </c>
      <c r="F3753" s="6" t="s">
        <v>9842</v>
      </c>
      <c r="G3753" s="6" t="s">
        <v>16</v>
      </c>
      <c r="H3753" s="5">
        <v>7</v>
      </c>
      <c r="I3753" s="6" t="s">
        <v>9843</v>
      </c>
      <c r="J3753" s="5">
        <v>750</v>
      </c>
    </row>
    <row r="3754" s="2" customFormat="1" spans="1:10">
      <c r="A3754" s="6">
        <f>3752</f>
        <v>3752</v>
      </c>
      <c r="B3754" s="6" t="s">
        <v>9844</v>
      </c>
      <c r="C3754" s="6" t="s">
        <v>12</v>
      </c>
      <c r="D3754" s="6" t="s">
        <v>9344</v>
      </c>
      <c r="E3754" s="6" t="s">
        <v>9759</v>
      </c>
      <c r="F3754" s="6" t="s">
        <v>9845</v>
      </c>
      <c r="G3754" s="6" t="s">
        <v>16</v>
      </c>
      <c r="H3754" s="5">
        <v>1</v>
      </c>
      <c r="I3754" s="6" t="s">
        <v>9845</v>
      </c>
      <c r="J3754" s="5">
        <v>245</v>
      </c>
    </row>
    <row r="3755" s="2" customFormat="1" spans="1:10">
      <c r="A3755" s="6">
        <f>3753</f>
        <v>3753</v>
      </c>
      <c r="B3755" s="6" t="s">
        <v>9846</v>
      </c>
      <c r="C3755" s="6" t="s">
        <v>12</v>
      </c>
      <c r="D3755" s="6" t="s">
        <v>9344</v>
      </c>
      <c r="E3755" s="6" t="s">
        <v>9759</v>
      </c>
      <c r="F3755" s="6" t="s">
        <v>9847</v>
      </c>
      <c r="G3755" s="6" t="s">
        <v>16</v>
      </c>
      <c r="H3755" s="5">
        <v>1</v>
      </c>
      <c r="I3755" s="6" t="s">
        <v>9847</v>
      </c>
      <c r="J3755" s="5">
        <v>340</v>
      </c>
    </row>
    <row r="3756" s="2" customFormat="1" spans="1:10">
      <c r="A3756" s="6">
        <f>3754</f>
        <v>3754</v>
      </c>
      <c r="B3756" s="6" t="s">
        <v>9848</v>
      </c>
      <c r="C3756" s="6" t="s">
        <v>12</v>
      </c>
      <c r="D3756" s="6" t="s">
        <v>9344</v>
      </c>
      <c r="E3756" s="6" t="s">
        <v>9759</v>
      </c>
      <c r="F3756" s="6" t="s">
        <v>9849</v>
      </c>
      <c r="G3756" s="6" t="s">
        <v>16</v>
      </c>
      <c r="H3756" s="5">
        <v>1</v>
      </c>
      <c r="I3756" s="6" t="s">
        <v>9849</v>
      </c>
      <c r="J3756" s="5">
        <v>245</v>
      </c>
    </row>
    <row r="3757" s="2" customFormat="1" spans="1:10">
      <c r="A3757" s="6">
        <f>3755</f>
        <v>3755</v>
      </c>
      <c r="B3757" s="6" t="s">
        <v>9850</v>
      </c>
      <c r="C3757" s="6" t="s">
        <v>12</v>
      </c>
      <c r="D3757" s="6" t="s">
        <v>9344</v>
      </c>
      <c r="E3757" s="6" t="s">
        <v>9759</v>
      </c>
      <c r="F3757" s="6" t="s">
        <v>9851</v>
      </c>
      <c r="G3757" s="6" t="s">
        <v>16</v>
      </c>
      <c r="H3757" s="5">
        <v>1</v>
      </c>
      <c r="I3757" s="6" t="s">
        <v>9851</v>
      </c>
      <c r="J3757" s="5">
        <v>245</v>
      </c>
    </row>
    <row r="3758" s="2" customFormat="1" spans="1:10">
      <c r="A3758" s="6">
        <f>3756</f>
        <v>3756</v>
      </c>
      <c r="B3758" s="6" t="s">
        <v>9852</v>
      </c>
      <c r="C3758" s="6" t="s">
        <v>12</v>
      </c>
      <c r="D3758" s="6" t="s">
        <v>9344</v>
      </c>
      <c r="E3758" s="6" t="s">
        <v>9759</v>
      </c>
      <c r="F3758" s="6" t="s">
        <v>9853</v>
      </c>
      <c r="G3758" s="6" t="s">
        <v>16</v>
      </c>
      <c r="H3758" s="5">
        <v>1</v>
      </c>
      <c r="I3758" s="6" t="s">
        <v>9853</v>
      </c>
      <c r="J3758" s="5">
        <v>250</v>
      </c>
    </row>
    <row r="3759" s="2" customFormat="1" spans="1:10">
      <c r="A3759" s="6">
        <f>3757</f>
        <v>3757</v>
      </c>
      <c r="B3759" s="6" t="s">
        <v>9854</v>
      </c>
      <c r="C3759" s="6" t="s">
        <v>12</v>
      </c>
      <c r="D3759" s="6" t="s">
        <v>9344</v>
      </c>
      <c r="E3759" s="6" t="s">
        <v>9759</v>
      </c>
      <c r="F3759" s="6" t="s">
        <v>9855</v>
      </c>
      <c r="G3759" s="6" t="s">
        <v>16</v>
      </c>
      <c r="H3759" s="5">
        <v>1</v>
      </c>
      <c r="I3759" s="6" t="s">
        <v>9855</v>
      </c>
      <c r="J3759" s="5">
        <v>573</v>
      </c>
    </row>
    <row r="3760" s="2" customFormat="1" spans="1:10">
      <c r="A3760" s="6">
        <f>3758</f>
        <v>3758</v>
      </c>
      <c r="B3760" s="6" t="s">
        <v>9856</v>
      </c>
      <c r="C3760" s="6" t="s">
        <v>12</v>
      </c>
      <c r="D3760" s="6" t="s">
        <v>9344</v>
      </c>
      <c r="E3760" s="6" t="s">
        <v>9759</v>
      </c>
      <c r="F3760" s="6" t="s">
        <v>9857</v>
      </c>
      <c r="G3760" s="6" t="s">
        <v>16</v>
      </c>
      <c r="H3760" s="5">
        <v>1</v>
      </c>
      <c r="I3760" s="6" t="s">
        <v>9857</v>
      </c>
      <c r="J3760" s="5">
        <v>540</v>
      </c>
    </row>
    <row r="3761" s="2" customFormat="1" spans="1:10">
      <c r="A3761" s="6">
        <f>3759</f>
        <v>3759</v>
      </c>
      <c r="B3761" s="6" t="s">
        <v>9858</v>
      </c>
      <c r="C3761" s="6" t="s">
        <v>12</v>
      </c>
      <c r="D3761" s="6" t="s">
        <v>9344</v>
      </c>
      <c r="E3761" s="6" t="s">
        <v>9859</v>
      </c>
      <c r="F3761" s="6" t="s">
        <v>9860</v>
      </c>
      <c r="G3761" s="6" t="s">
        <v>16</v>
      </c>
      <c r="H3761" s="5">
        <v>2</v>
      </c>
      <c r="I3761" s="6" t="s">
        <v>9861</v>
      </c>
      <c r="J3761" s="5">
        <v>520</v>
      </c>
    </row>
    <row r="3762" s="2" customFormat="1" ht="27" spans="1:10">
      <c r="A3762" s="6">
        <f>3760</f>
        <v>3760</v>
      </c>
      <c r="B3762" s="6" t="s">
        <v>9862</v>
      </c>
      <c r="C3762" s="6" t="s">
        <v>12</v>
      </c>
      <c r="D3762" s="6" t="s">
        <v>9344</v>
      </c>
      <c r="E3762" s="6" t="s">
        <v>9859</v>
      </c>
      <c r="F3762" s="6" t="s">
        <v>9863</v>
      </c>
      <c r="G3762" s="6" t="s">
        <v>16</v>
      </c>
      <c r="H3762" s="5">
        <v>4</v>
      </c>
      <c r="I3762" s="6" t="s">
        <v>9864</v>
      </c>
      <c r="J3762" s="5">
        <v>2160</v>
      </c>
    </row>
    <row r="3763" s="2" customFormat="1" spans="1:10">
      <c r="A3763" s="6">
        <f>3761</f>
        <v>3761</v>
      </c>
      <c r="B3763" s="6" t="s">
        <v>9865</v>
      </c>
      <c r="C3763" s="6" t="s">
        <v>12</v>
      </c>
      <c r="D3763" s="6" t="s">
        <v>9344</v>
      </c>
      <c r="E3763" s="6" t="s">
        <v>9859</v>
      </c>
      <c r="F3763" s="6" t="s">
        <v>9866</v>
      </c>
      <c r="G3763" s="6" t="s">
        <v>16</v>
      </c>
      <c r="H3763" s="5">
        <v>1</v>
      </c>
      <c r="I3763" s="6" t="s">
        <v>9866</v>
      </c>
      <c r="J3763" s="5">
        <v>415</v>
      </c>
    </row>
    <row r="3764" s="2" customFormat="1" spans="1:10">
      <c r="A3764" s="6">
        <f>3762</f>
        <v>3762</v>
      </c>
      <c r="B3764" s="6" t="s">
        <v>9867</v>
      </c>
      <c r="C3764" s="6" t="s">
        <v>12</v>
      </c>
      <c r="D3764" s="6" t="s">
        <v>9344</v>
      </c>
      <c r="E3764" s="6" t="s">
        <v>9859</v>
      </c>
      <c r="F3764" s="6" t="s">
        <v>9868</v>
      </c>
      <c r="G3764" s="6" t="s">
        <v>16</v>
      </c>
      <c r="H3764" s="5">
        <v>1</v>
      </c>
      <c r="I3764" s="6" t="s">
        <v>9868</v>
      </c>
      <c r="J3764" s="5">
        <v>378</v>
      </c>
    </row>
    <row r="3765" s="2" customFormat="1" spans="1:10">
      <c r="A3765" s="6">
        <f>3763</f>
        <v>3763</v>
      </c>
      <c r="B3765" s="6" t="s">
        <v>9869</v>
      </c>
      <c r="C3765" s="6" t="s">
        <v>12</v>
      </c>
      <c r="D3765" s="6" t="s">
        <v>9344</v>
      </c>
      <c r="E3765" s="6" t="s">
        <v>9859</v>
      </c>
      <c r="F3765" s="6" t="s">
        <v>1973</v>
      </c>
      <c r="G3765" s="6" t="s">
        <v>16</v>
      </c>
      <c r="H3765" s="5">
        <v>1</v>
      </c>
      <c r="I3765" s="6" t="s">
        <v>1973</v>
      </c>
      <c r="J3765" s="5">
        <v>388</v>
      </c>
    </row>
    <row r="3766" s="2" customFormat="1" spans="1:10">
      <c r="A3766" s="6">
        <f>3764</f>
        <v>3764</v>
      </c>
      <c r="B3766" s="6" t="s">
        <v>9870</v>
      </c>
      <c r="C3766" s="6" t="s">
        <v>12</v>
      </c>
      <c r="D3766" s="6" t="s">
        <v>9344</v>
      </c>
      <c r="E3766" s="6" t="s">
        <v>9859</v>
      </c>
      <c r="F3766" s="6" t="s">
        <v>9871</v>
      </c>
      <c r="G3766" s="6" t="s">
        <v>16</v>
      </c>
      <c r="H3766" s="5">
        <v>1</v>
      </c>
      <c r="I3766" s="6" t="s">
        <v>9871</v>
      </c>
      <c r="J3766" s="5">
        <v>248</v>
      </c>
    </row>
    <row r="3767" s="2" customFormat="1" spans="1:10">
      <c r="A3767" s="6">
        <f>3765</f>
        <v>3765</v>
      </c>
      <c r="B3767" s="6" t="s">
        <v>9872</v>
      </c>
      <c r="C3767" s="6" t="s">
        <v>12</v>
      </c>
      <c r="D3767" s="6" t="s">
        <v>9344</v>
      </c>
      <c r="E3767" s="6" t="s">
        <v>9859</v>
      </c>
      <c r="F3767" s="6" t="s">
        <v>9873</v>
      </c>
      <c r="G3767" s="6" t="s">
        <v>16</v>
      </c>
      <c r="H3767" s="5">
        <v>2</v>
      </c>
      <c r="I3767" s="6" t="s">
        <v>9874</v>
      </c>
      <c r="J3767" s="5">
        <v>616</v>
      </c>
    </row>
    <row r="3768" s="2" customFormat="1" spans="1:10">
      <c r="A3768" s="6">
        <f>3766</f>
        <v>3766</v>
      </c>
      <c r="B3768" s="6" t="s">
        <v>9875</v>
      </c>
      <c r="C3768" s="6" t="s">
        <v>12</v>
      </c>
      <c r="D3768" s="6" t="s">
        <v>9344</v>
      </c>
      <c r="E3768" s="6" t="s">
        <v>9859</v>
      </c>
      <c r="F3768" s="6" t="s">
        <v>9876</v>
      </c>
      <c r="G3768" s="6" t="s">
        <v>16</v>
      </c>
      <c r="H3768" s="5">
        <v>2</v>
      </c>
      <c r="I3768" s="6" t="s">
        <v>9877</v>
      </c>
      <c r="J3768" s="5">
        <v>490</v>
      </c>
    </row>
    <row r="3769" s="2" customFormat="1" spans="1:10">
      <c r="A3769" s="6">
        <f>3767</f>
        <v>3767</v>
      </c>
      <c r="B3769" s="6" t="s">
        <v>9878</v>
      </c>
      <c r="C3769" s="6" t="s">
        <v>12</v>
      </c>
      <c r="D3769" s="6" t="s">
        <v>9344</v>
      </c>
      <c r="E3769" s="6" t="s">
        <v>9859</v>
      </c>
      <c r="F3769" s="6" t="s">
        <v>9879</v>
      </c>
      <c r="G3769" s="6" t="s">
        <v>16</v>
      </c>
      <c r="H3769" s="5">
        <v>2</v>
      </c>
      <c r="I3769" s="6" t="s">
        <v>9880</v>
      </c>
      <c r="J3769" s="5">
        <v>490</v>
      </c>
    </row>
    <row r="3770" s="2" customFormat="1" spans="1:10">
      <c r="A3770" s="6">
        <f>3768</f>
        <v>3768</v>
      </c>
      <c r="B3770" s="6" t="s">
        <v>9881</v>
      </c>
      <c r="C3770" s="6" t="s">
        <v>12</v>
      </c>
      <c r="D3770" s="6" t="s">
        <v>9344</v>
      </c>
      <c r="E3770" s="6" t="s">
        <v>9859</v>
      </c>
      <c r="F3770" s="6" t="s">
        <v>9882</v>
      </c>
      <c r="G3770" s="6" t="s">
        <v>16</v>
      </c>
      <c r="H3770" s="5">
        <v>1</v>
      </c>
      <c r="I3770" s="6" t="s">
        <v>9882</v>
      </c>
      <c r="J3770" s="5">
        <v>248</v>
      </c>
    </row>
    <row r="3771" s="2" customFormat="1" spans="1:10">
      <c r="A3771" s="6">
        <f>3769</f>
        <v>3769</v>
      </c>
      <c r="B3771" s="6" t="s">
        <v>9883</v>
      </c>
      <c r="C3771" s="6" t="s">
        <v>12</v>
      </c>
      <c r="D3771" s="6" t="s">
        <v>9344</v>
      </c>
      <c r="E3771" s="6" t="s">
        <v>9859</v>
      </c>
      <c r="F3771" s="6" t="s">
        <v>9884</v>
      </c>
      <c r="G3771" s="6" t="s">
        <v>16</v>
      </c>
      <c r="H3771" s="5">
        <v>1</v>
      </c>
      <c r="I3771" s="6" t="s">
        <v>9884</v>
      </c>
      <c r="J3771" s="5">
        <v>248</v>
      </c>
    </row>
    <row r="3772" s="2" customFormat="1" spans="1:10">
      <c r="A3772" s="6">
        <f>3770</f>
        <v>3770</v>
      </c>
      <c r="B3772" s="6" t="s">
        <v>9885</v>
      </c>
      <c r="C3772" s="6" t="s">
        <v>12</v>
      </c>
      <c r="D3772" s="6" t="s">
        <v>9344</v>
      </c>
      <c r="E3772" s="6" t="s">
        <v>9859</v>
      </c>
      <c r="F3772" s="6" t="s">
        <v>9886</v>
      </c>
      <c r="G3772" s="6" t="s">
        <v>16</v>
      </c>
      <c r="H3772" s="5">
        <v>1</v>
      </c>
      <c r="I3772" s="6" t="s">
        <v>9886</v>
      </c>
      <c r="J3772" s="5">
        <v>248</v>
      </c>
    </row>
    <row r="3773" s="2" customFormat="1" spans="1:10">
      <c r="A3773" s="6">
        <f>3771</f>
        <v>3771</v>
      </c>
      <c r="B3773" s="6" t="s">
        <v>9887</v>
      </c>
      <c r="C3773" s="6" t="s">
        <v>12</v>
      </c>
      <c r="D3773" s="6" t="s">
        <v>9344</v>
      </c>
      <c r="E3773" s="6" t="s">
        <v>9859</v>
      </c>
      <c r="F3773" s="6" t="s">
        <v>9888</v>
      </c>
      <c r="G3773" s="6" t="s">
        <v>16</v>
      </c>
      <c r="H3773" s="5">
        <v>1</v>
      </c>
      <c r="I3773" s="6" t="s">
        <v>9888</v>
      </c>
      <c r="J3773" s="5">
        <v>245</v>
      </c>
    </row>
    <row r="3774" s="2" customFormat="1" spans="1:10">
      <c r="A3774" s="6">
        <f>3772</f>
        <v>3772</v>
      </c>
      <c r="B3774" s="6" t="s">
        <v>9889</v>
      </c>
      <c r="C3774" s="6" t="s">
        <v>12</v>
      </c>
      <c r="D3774" s="6" t="s">
        <v>9344</v>
      </c>
      <c r="E3774" s="6" t="s">
        <v>9859</v>
      </c>
      <c r="F3774" s="6" t="s">
        <v>9890</v>
      </c>
      <c r="G3774" s="6" t="s">
        <v>16</v>
      </c>
      <c r="H3774" s="5">
        <v>1</v>
      </c>
      <c r="I3774" s="6" t="s">
        <v>9890</v>
      </c>
      <c r="J3774" s="5">
        <v>248</v>
      </c>
    </row>
    <row r="3775" s="2" customFormat="1" spans="1:10">
      <c r="A3775" s="6">
        <f>3773</f>
        <v>3773</v>
      </c>
      <c r="B3775" s="6" t="s">
        <v>9891</v>
      </c>
      <c r="C3775" s="6" t="s">
        <v>12</v>
      </c>
      <c r="D3775" s="6" t="s">
        <v>9344</v>
      </c>
      <c r="E3775" s="6" t="s">
        <v>9859</v>
      </c>
      <c r="F3775" s="6" t="s">
        <v>9892</v>
      </c>
      <c r="G3775" s="6" t="s">
        <v>16</v>
      </c>
      <c r="H3775" s="5">
        <v>1</v>
      </c>
      <c r="I3775" s="6" t="s">
        <v>9892</v>
      </c>
      <c r="J3775" s="5">
        <v>248</v>
      </c>
    </row>
    <row r="3776" s="2" customFormat="1" spans="1:10">
      <c r="A3776" s="6">
        <f>3774</f>
        <v>3774</v>
      </c>
      <c r="B3776" s="6" t="s">
        <v>9893</v>
      </c>
      <c r="C3776" s="6" t="s">
        <v>12</v>
      </c>
      <c r="D3776" s="6" t="s">
        <v>9344</v>
      </c>
      <c r="E3776" s="6" t="s">
        <v>9859</v>
      </c>
      <c r="F3776" s="6" t="s">
        <v>9894</v>
      </c>
      <c r="G3776" s="6" t="s">
        <v>16</v>
      </c>
      <c r="H3776" s="5">
        <v>3</v>
      </c>
      <c r="I3776" s="6" t="s">
        <v>9895</v>
      </c>
      <c r="J3776" s="5">
        <v>765</v>
      </c>
    </row>
    <row r="3777" s="2" customFormat="1" spans="1:10">
      <c r="A3777" s="6">
        <f>3775</f>
        <v>3775</v>
      </c>
      <c r="B3777" s="6" t="s">
        <v>9896</v>
      </c>
      <c r="C3777" s="6" t="s">
        <v>12</v>
      </c>
      <c r="D3777" s="6" t="s">
        <v>9344</v>
      </c>
      <c r="E3777" s="6" t="s">
        <v>9859</v>
      </c>
      <c r="F3777" s="6" t="s">
        <v>9897</v>
      </c>
      <c r="G3777" s="6" t="s">
        <v>16</v>
      </c>
      <c r="H3777" s="5">
        <v>1</v>
      </c>
      <c r="I3777" s="6" t="s">
        <v>9897</v>
      </c>
      <c r="J3777" s="5">
        <v>248</v>
      </c>
    </row>
    <row r="3778" s="2" customFormat="1" ht="27" spans="1:10">
      <c r="A3778" s="6">
        <f>3776</f>
        <v>3776</v>
      </c>
      <c r="B3778" s="6" t="s">
        <v>9898</v>
      </c>
      <c r="C3778" s="6" t="s">
        <v>12</v>
      </c>
      <c r="D3778" s="6" t="s">
        <v>9344</v>
      </c>
      <c r="E3778" s="6" t="s">
        <v>9859</v>
      </c>
      <c r="F3778" s="6" t="s">
        <v>9899</v>
      </c>
      <c r="G3778" s="6" t="s">
        <v>16</v>
      </c>
      <c r="H3778" s="5">
        <v>6</v>
      </c>
      <c r="I3778" s="6" t="s">
        <v>9900</v>
      </c>
      <c r="J3778" s="5">
        <v>1020</v>
      </c>
    </row>
    <row r="3779" s="2" customFormat="1" ht="27" spans="1:10">
      <c r="A3779" s="6">
        <f>3777</f>
        <v>3777</v>
      </c>
      <c r="B3779" s="6" t="s">
        <v>9901</v>
      </c>
      <c r="C3779" s="6" t="s">
        <v>12</v>
      </c>
      <c r="D3779" s="6" t="s">
        <v>9344</v>
      </c>
      <c r="E3779" s="6" t="s">
        <v>9859</v>
      </c>
      <c r="F3779" s="6" t="s">
        <v>9902</v>
      </c>
      <c r="G3779" s="6" t="s">
        <v>16</v>
      </c>
      <c r="H3779" s="5">
        <v>5</v>
      </c>
      <c r="I3779" s="6" t="s">
        <v>9903</v>
      </c>
      <c r="J3779" s="5">
        <v>900</v>
      </c>
    </row>
    <row r="3780" s="2" customFormat="1" spans="1:10">
      <c r="A3780" s="6">
        <f>3778</f>
        <v>3778</v>
      </c>
      <c r="B3780" s="6" t="s">
        <v>9904</v>
      </c>
      <c r="C3780" s="6" t="s">
        <v>12</v>
      </c>
      <c r="D3780" s="6" t="s">
        <v>9344</v>
      </c>
      <c r="E3780" s="6" t="s">
        <v>9859</v>
      </c>
      <c r="F3780" s="6" t="s">
        <v>9905</v>
      </c>
      <c r="G3780" s="6" t="s">
        <v>16</v>
      </c>
      <c r="H3780" s="5">
        <v>1</v>
      </c>
      <c r="I3780" s="6" t="s">
        <v>9905</v>
      </c>
      <c r="J3780" s="5">
        <v>248</v>
      </c>
    </row>
    <row r="3781" s="2" customFormat="1" spans="1:10">
      <c r="A3781" s="6">
        <f>3779</f>
        <v>3779</v>
      </c>
      <c r="B3781" s="6" t="s">
        <v>9906</v>
      </c>
      <c r="C3781" s="6" t="s">
        <v>12</v>
      </c>
      <c r="D3781" s="6" t="s">
        <v>9344</v>
      </c>
      <c r="E3781" s="6" t="s">
        <v>9859</v>
      </c>
      <c r="F3781" s="6" t="s">
        <v>9907</v>
      </c>
      <c r="G3781" s="6" t="s">
        <v>16</v>
      </c>
      <c r="H3781" s="5">
        <v>3</v>
      </c>
      <c r="I3781" s="6" t="s">
        <v>9908</v>
      </c>
      <c r="J3781" s="5">
        <v>820</v>
      </c>
    </row>
    <row r="3782" s="2" customFormat="1" spans="1:10">
      <c r="A3782" s="6">
        <f>3780</f>
        <v>3780</v>
      </c>
      <c r="B3782" s="6" t="s">
        <v>9909</v>
      </c>
      <c r="C3782" s="6" t="s">
        <v>12</v>
      </c>
      <c r="D3782" s="6" t="s">
        <v>9344</v>
      </c>
      <c r="E3782" s="6" t="s">
        <v>9859</v>
      </c>
      <c r="F3782" s="6" t="s">
        <v>9910</v>
      </c>
      <c r="G3782" s="6" t="s">
        <v>16</v>
      </c>
      <c r="H3782" s="5">
        <v>1</v>
      </c>
      <c r="I3782" s="6" t="s">
        <v>9910</v>
      </c>
      <c r="J3782" s="5">
        <v>248</v>
      </c>
    </row>
    <row r="3783" s="2" customFormat="1" spans="1:10">
      <c r="A3783" s="6">
        <f>3781</f>
        <v>3781</v>
      </c>
      <c r="B3783" s="6" t="s">
        <v>9911</v>
      </c>
      <c r="C3783" s="6" t="s">
        <v>12</v>
      </c>
      <c r="D3783" s="6" t="s">
        <v>9344</v>
      </c>
      <c r="E3783" s="6" t="s">
        <v>9859</v>
      </c>
      <c r="F3783" s="6" t="s">
        <v>9912</v>
      </c>
      <c r="G3783" s="6" t="s">
        <v>16</v>
      </c>
      <c r="H3783" s="5">
        <v>2</v>
      </c>
      <c r="I3783" s="6" t="s">
        <v>9913</v>
      </c>
      <c r="J3783" s="5">
        <v>380</v>
      </c>
    </row>
    <row r="3784" s="2" customFormat="1" spans="1:10">
      <c r="A3784" s="6">
        <f>3782</f>
        <v>3782</v>
      </c>
      <c r="B3784" s="6" t="s">
        <v>9914</v>
      </c>
      <c r="C3784" s="6" t="s">
        <v>12</v>
      </c>
      <c r="D3784" s="6" t="s">
        <v>9344</v>
      </c>
      <c r="E3784" s="6" t="s">
        <v>9859</v>
      </c>
      <c r="F3784" s="6" t="s">
        <v>9915</v>
      </c>
      <c r="G3784" s="6" t="s">
        <v>16</v>
      </c>
      <c r="H3784" s="5">
        <v>2</v>
      </c>
      <c r="I3784" s="6" t="s">
        <v>9916</v>
      </c>
      <c r="J3784" s="5">
        <v>680</v>
      </c>
    </row>
    <row r="3785" s="2" customFormat="1" spans="1:10">
      <c r="A3785" s="6">
        <f>3783</f>
        <v>3783</v>
      </c>
      <c r="B3785" s="6" t="s">
        <v>9917</v>
      </c>
      <c r="C3785" s="6" t="s">
        <v>12</v>
      </c>
      <c r="D3785" s="6" t="s">
        <v>9344</v>
      </c>
      <c r="E3785" s="6" t="s">
        <v>9859</v>
      </c>
      <c r="F3785" s="6" t="s">
        <v>9918</v>
      </c>
      <c r="G3785" s="6" t="s">
        <v>16</v>
      </c>
      <c r="H3785" s="5">
        <v>1</v>
      </c>
      <c r="I3785" s="6" t="s">
        <v>9918</v>
      </c>
      <c r="J3785" s="5">
        <v>248</v>
      </c>
    </row>
    <row r="3786" s="2" customFormat="1" spans="1:10">
      <c r="A3786" s="6">
        <f>3784</f>
        <v>3784</v>
      </c>
      <c r="B3786" s="6" t="s">
        <v>9919</v>
      </c>
      <c r="C3786" s="6" t="s">
        <v>12</v>
      </c>
      <c r="D3786" s="6" t="s">
        <v>9344</v>
      </c>
      <c r="E3786" s="6" t="s">
        <v>9859</v>
      </c>
      <c r="F3786" s="6" t="s">
        <v>9920</v>
      </c>
      <c r="G3786" s="6" t="s">
        <v>16</v>
      </c>
      <c r="H3786" s="5">
        <v>1</v>
      </c>
      <c r="I3786" s="6" t="s">
        <v>9920</v>
      </c>
      <c r="J3786" s="5">
        <v>248</v>
      </c>
    </row>
    <row r="3787" s="2" customFormat="1" spans="1:10">
      <c r="A3787" s="6">
        <f>3785</f>
        <v>3785</v>
      </c>
      <c r="B3787" s="6" t="s">
        <v>9921</v>
      </c>
      <c r="C3787" s="6" t="s">
        <v>12</v>
      </c>
      <c r="D3787" s="6" t="s">
        <v>9344</v>
      </c>
      <c r="E3787" s="6" t="s">
        <v>9859</v>
      </c>
      <c r="F3787" s="6" t="s">
        <v>9922</v>
      </c>
      <c r="G3787" s="6" t="s">
        <v>16</v>
      </c>
      <c r="H3787" s="5">
        <v>2</v>
      </c>
      <c r="I3787" s="6" t="s">
        <v>9923</v>
      </c>
      <c r="J3787" s="5">
        <v>570</v>
      </c>
    </row>
    <row r="3788" s="2" customFormat="1" ht="27" spans="1:10">
      <c r="A3788" s="6">
        <f>3786</f>
        <v>3786</v>
      </c>
      <c r="B3788" s="6" t="s">
        <v>9924</v>
      </c>
      <c r="C3788" s="6" t="s">
        <v>12</v>
      </c>
      <c r="D3788" s="6" t="s">
        <v>9344</v>
      </c>
      <c r="E3788" s="6" t="s">
        <v>9859</v>
      </c>
      <c r="F3788" s="6" t="s">
        <v>9925</v>
      </c>
      <c r="G3788" s="6" t="s">
        <v>16</v>
      </c>
      <c r="H3788" s="5">
        <v>5</v>
      </c>
      <c r="I3788" s="6" t="s">
        <v>9926</v>
      </c>
      <c r="J3788" s="5">
        <v>850</v>
      </c>
    </row>
    <row r="3789" s="2" customFormat="1" spans="1:10">
      <c r="A3789" s="6">
        <f>3787</f>
        <v>3787</v>
      </c>
      <c r="B3789" s="6" t="s">
        <v>9927</v>
      </c>
      <c r="C3789" s="6" t="s">
        <v>12</v>
      </c>
      <c r="D3789" s="6" t="s">
        <v>9344</v>
      </c>
      <c r="E3789" s="6" t="s">
        <v>9859</v>
      </c>
      <c r="F3789" s="6" t="s">
        <v>9928</v>
      </c>
      <c r="G3789" s="6" t="s">
        <v>16</v>
      </c>
      <c r="H3789" s="5">
        <v>2</v>
      </c>
      <c r="I3789" s="6" t="s">
        <v>9929</v>
      </c>
      <c r="J3789" s="5">
        <v>585</v>
      </c>
    </row>
    <row r="3790" s="2" customFormat="1" spans="1:10">
      <c r="A3790" s="6">
        <f>3788</f>
        <v>3788</v>
      </c>
      <c r="B3790" s="6" t="s">
        <v>9930</v>
      </c>
      <c r="C3790" s="6" t="s">
        <v>12</v>
      </c>
      <c r="D3790" s="6" t="s">
        <v>9344</v>
      </c>
      <c r="E3790" s="6" t="s">
        <v>9859</v>
      </c>
      <c r="F3790" s="6" t="s">
        <v>9931</v>
      </c>
      <c r="G3790" s="6" t="s">
        <v>16</v>
      </c>
      <c r="H3790" s="5">
        <v>1</v>
      </c>
      <c r="I3790" s="6" t="s">
        <v>9931</v>
      </c>
      <c r="J3790" s="5">
        <v>263</v>
      </c>
    </row>
    <row r="3791" s="2" customFormat="1" spans="1:10">
      <c r="A3791" s="6">
        <f>3789</f>
        <v>3789</v>
      </c>
      <c r="B3791" s="6" t="s">
        <v>9932</v>
      </c>
      <c r="C3791" s="6" t="s">
        <v>12</v>
      </c>
      <c r="D3791" s="6" t="s">
        <v>9344</v>
      </c>
      <c r="E3791" s="6" t="s">
        <v>9859</v>
      </c>
      <c r="F3791" s="6" t="s">
        <v>9933</v>
      </c>
      <c r="G3791" s="6" t="s">
        <v>16</v>
      </c>
      <c r="H3791" s="5">
        <v>1</v>
      </c>
      <c r="I3791" s="6" t="s">
        <v>9933</v>
      </c>
      <c r="J3791" s="5">
        <v>415</v>
      </c>
    </row>
    <row r="3792" s="2" customFormat="1" spans="1:10">
      <c r="A3792" s="6">
        <f>3790</f>
        <v>3790</v>
      </c>
      <c r="B3792" s="6" t="s">
        <v>9934</v>
      </c>
      <c r="C3792" s="6" t="s">
        <v>12</v>
      </c>
      <c r="D3792" s="6" t="s">
        <v>9344</v>
      </c>
      <c r="E3792" s="6" t="s">
        <v>9859</v>
      </c>
      <c r="F3792" s="6" t="s">
        <v>9935</v>
      </c>
      <c r="G3792" s="6" t="s">
        <v>16</v>
      </c>
      <c r="H3792" s="5">
        <v>1</v>
      </c>
      <c r="I3792" s="6" t="s">
        <v>9935</v>
      </c>
      <c r="J3792" s="5">
        <v>248</v>
      </c>
    </row>
    <row r="3793" s="2" customFormat="1" spans="1:10">
      <c r="A3793" s="6">
        <f>3791</f>
        <v>3791</v>
      </c>
      <c r="B3793" s="6" t="s">
        <v>9936</v>
      </c>
      <c r="C3793" s="6" t="s">
        <v>12</v>
      </c>
      <c r="D3793" s="6" t="s">
        <v>9344</v>
      </c>
      <c r="E3793" s="6" t="s">
        <v>9859</v>
      </c>
      <c r="F3793" s="6" t="s">
        <v>9937</v>
      </c>
      <c r="G3793" s="6" t="s">
        <v>16</v>
      </c>
      <c r="H3793" s="5">
        <v>2</v>
      </c>
      <c r="I3793" s="6" t="s">
        <v>9938</v>
      </c>
      <c r="J3793" s="5">
        <v>555</v>
      </c>
    </row>
    <row r="3794" s="2" customFormat="1" spans="1:10">
      <c r="A3794" s="6">
        <f>3792</f>
        <v>3792</v>
      </c>
      <c r="B3794" s="6" t="s">
        <v>9939</v>
      </c>
      <c r="C3794" s="6" t="s">
        <v>12</v>
      </c>
      <c r="D3794" s="6" t="s">
        <v>9344</v>
      </c>
      <c r="E3794" s="6" t="s">
        <v>9859</v>
      </c>
      <c r="F3794" s="6" t="s">
        <v>9940</v>
      </c>
      <c r="G3794" s="6" t="s">
        <v>16</v>
      </c>
      <c r="H3794" s="5">
        <v>1</v>
      </c>
      <c r="I3794" s="6" t="s">
        <v>9940</v>
      </c>
      <c r="J3794" s="5">
        <v>248</v>
      </c>
    </row>
    <row r="3795" s="2" customFormat="1" spans="1:10">
      <c r="A3795" s="6">
        <f>3793</f>
        <v>3793</v>
      </c>
      <c r="B3795" s="6" t="s">
        <v>9941</v>
      </c>
      <c r="C3795" s="6" t="s">
        <v>12</v>
      </c>
      <c r="D3795" s="6" t="s">
        <v>9344</v>
      </c>
      <c r="E3795" s="6" t="s">
        <v>9859</v>
      </c>
      <c r="F3795" s="6" t="s">
        <v>9942</v>
      </c>
      <c r="G3795" s="6" t="s">
        <v>16</v>
      </c>
      <c r="H3795" s="5">
        <v>2</v>
      </c>
      <c r="I3795" s="6" t="s">
        <v>9943</v>
      </c>
      <c r="J3795" s="5">
        <v>504</v>
      </c>
    </row>
    <row r="3796" s="2" customFormat="1" spans="1:10">
      <c r="A3796" s="6">
        <f>3794</f>
        <v>3794</v>
      </c>
      <c r="B3796" s="6" t="s">
        <v>9944</v>
      </c>
      <c r="C3796" s="6" t="s">
        <v>12</v>
      </c>
      <c r="D3796" s="6" t="s">
        <v>9344</v>
      </c>
      <c r="E3796" s="6" t="s">
        <v>9859</v>
      </c>
      <c r="F3796" s="6" t="s">
        <v>9945</v>
      </c>
      <c r="G3796" s="6" t="s">
        <v>16</v>
      </c>
      <c r="H3796" s="5">
        <v>3</v>
      </c>
      <c r="I3796" s="6" t="s">
        <v>9946</v>
      </c>
      <c r="J3796" s="5">
        <v>1620</v>
      </c>
    </row>
    <row r="3797" s="2" customFormat="1" spans="1:10">
      <c r="A3797" s="6">
        <f>3795</f>
        <v>3795</v>
      </c>
      <c r="B3797" s="6" t="s">
        <v>9947</v>
      </c>
      <c r="C3797" s="6" t="s">
        <v>12</v>
      </c>
      <c r="D3797" s="6" t="s">
        <v>9344</v>
      </c>
      <c r="E3797" s="6" t="s">
        <v>9948</v>
      </c>
      <c r="F3797" s="6" t="s">
        <v>9949</v>
      </c>
      <c r="G3797" s="6" t="s">
        <v>16</v>
      </c>
      <c r="H3797" s="5">
        <v>3</v>
      </c>
      <c r="I3797" s="6" t="s">
        <v>9950</v>
      </c>
      <c r="J3797" s="5">
        <v>700</v>
      </c>
    </row>
    <row r="3798" s="2" customFormat="1" spans="1:10">
      <c r="A3798" s="6">
        <f>3796</f>
        <v>3796</v>
      </c>
      <c r="B3798" s="6" t="s">
        <v>9951</v>
      </c>
      <c r="C3798" s="6" t="s">
        <v>12</v>
      </c>
      <c r="D3798" s="6" t="s">
        <v>9344</v>
      </c>
      <c r="E3798" s="6" t="s">
        <v>9948</v>
      </c>
      <c r="F3798" s="6" t="s">
        <v>9952</v>
      </c>
      <c r="G3798" s="6" t="s">
        <v>16</v>
      </c>
      <c r="H3798" s="5">
        <v>3</v>
      </c>
      <c r="I3798" s="6" t="s">
        <v>9953</v>
      </c>
      <c r="J3798" s="5">
        <v>880</v>
      </c>
    </row>
    <row r="3799" s="2" customFormat="1" spans="1:10">
      <c r="A3799" s="6">
        <f>3797</f>
        <v>3797</v>
      </c>
      <c r="B3799" s="6" t="s">
        <v>9954</v>
      </c>
      <c r="C3799" s="6" t="s">
        <v>12</v>
      </c>
      <c r="D3799" s="6" t="s">
        <v>9344</v>
      </c>
      <c r="E3799" s="6" t="s">
        <v>9948</v>
      </c>
      <c r="F3799" s="6" t="s">
        <v>9955</v>
      </c>
      <c r="G3799" s="6" t="s">
        <v>16</v>
      </c>
      <c r="H3799" s="5">
        <v>1</v>
      </c>
      <c r="I3799" s="6" t="s">
        <v>9955</v>
      </c>
      <c r="J3799" s="5">
        <v>260</v>
      </c>
    </row>
    <row r="3800" s="2" customFormat="1" spans="1:10">
      <c r="A3800" s="6">
        <f>3798</f>
        <v>3798</v>
      </c>
      <c r="B3800" s="6" t="s">
        <v>9956</v>
      </c>
      <c r="C3800" s="6" t="s">
        <v>12</v>
      </c>
      <c r="D3800" s="6" t="s">
        <v>9344</v>
      </c>
      <c r="E3800" s="6" t="s">
        <v>9948</v>
      </c>
      <c r="F3800" s="6" t="s">
        <v>9957</v>
      </c>
      <c r="G3800" s="6" t="s">
        <v>16</v>
      </c>
      <c r="H3800" s="5">
        <v>1</v>
      </c>
      <c r="I3800" s="6" t="s">
        <v>9957</v>
      </c>
      <c r="J3800" s="5">
        <v>305</v>
      </c>
    </row>
    <row r="3801" s="2" customFormat="1" ht="27" spans="1:10">
      <c r="A3801" s="6">
        <f>3799</f>
        <v>3799</v>
      </c>
      <c r="B3801" s="6" t="s">
        <v>9958</v>
      </c>
      <c r="C3801" s="6" t="s">
        <v>12</v>
      </c>
      <c r="D3801" s="6" t="s">
        <v>9344</v>
      </c>
      <c r="E3801" s="6" t="s">
        <v>9948</v>
      </c>
      <c r="F3801" s="6" t="s">
        <v>9959</v>
      </c>
      <c r="G3801" s="6" t="s">
        <v>16</v>
      </c>
      <c r="H3801" s="5">
        <v>4</v>
      </c>
      <c r="I3801" s="6" t="s">
        <v>9960</v>
      </c>
      <c r="J3801" s="5">
        <v>1760</v>
      </c>
    </row>
    <row r="3802" s="2" customFormat="1" ht="27" spans="1:10">
      <c r="A3802" s="6">
        <f>3800</f>
        <v>3800</v>
      </c>
      <c r="B3802" s="6" t="s">
        <v>9961</v>
      </c>
      <c r="C3802" s="6" t="s">
        <v>12</v>
      </c>
      <c r="D3802" s="6" t="s">
        <v>9344</v>
      </c>
      <c r="E3802" s="6" t="s">
        <v>9948</v>
      </c>
      <c r="F3802" s="6" t="s">
        <v>9962</v>
      </c>
      <c r="G3802" s="6" t="s">
        <v>16</v>
      </c>
      <c r="H3802" s="5">
        <v>4</v>
      </c>
      <c r="I3802" s="6" t="s">
        <v>9963</v>
      </c>
      <c r="J3802" s="5">
        <v>960</v>
      </c>
    </row>
    <row r="3803" s="2" customFormat="1" ht="27" spans="1:10">
      <c r="A3803" s="6">
        <f>3801</f>
        <v>3801</v>
      </c>
      <c r="B3803" s="6" t="s">
        <v>9964</v>
      </c>
      <c r="C3803" s="6" t="s">
        <v>12</v>
      </c>
      <c r="D3803" s="6" t="s">
        <v>9344</v>
      </c>
      <c r="E3803" s="6" t="s">
        <v>9948</v>
      </c>
      <c r="F3803" s="6" t="s">
        <v>9965</v>
      </c>
      <c r="G3803" s="6" t="s">
        <v>16</v>
      </c>
      <c r="H3803" s="5">
        <v>6</v>
      </c>
      <c r="I3803" s="6" t="s">
        <v>9966</v>
      </c>
      <c r="J3803" s="5">
        <v>900</v>
      </c>
    </row>
    <row r="3804" s="2" customFormat="1" spans="1:10">
      <c r="A3804" s="6">
        <f>3802</f>
        <v>3802</v>
      </c>
      <c r="B3804" s="6" t="s">
        <v>9967</v>
      </c>
      <c r="C3804" s="6" t="s">
        <v>12</v>
      </c>
      <c r="D3804" s="6" t="s">
        <v>9344</v>
      </c>
      <c r="E3804" s="6" t="s">
        <v>9948</v>
      </c>
      <c r="F3804" s="6" t="s">
        <v>6342</v>
      </c>
      <c r="G3804" s="6" t="s">
        <v>16</v>
      </c>
      <c r="H3804" s="5">
        <v>1</v>
      </c>
      <c r="I3804" s="6" t="s">
        <v>6342</v>
      </c>
      <c r="J3804" s="5">
        <v>500</v>
      </c>
    </row>
    <row r="3805" s="2" customFormat="1" spans="1:10">
      <c r="A3805" s="6">
        <f>3803</f>
        <v>3803</v>
      </c>
      <c r="B3805" s="6" t="s">
        <v>9968</v>
      </c>
      <c r="C3805" s="6" t="s">
        <v>12</v>
      </c>
      <c r="D3805" s="6" t="s">
        <v>9344</v>
      </c>
      <c r="E3805" s="6" t="s">
        <v>9948</v>
      </c>
      <c r="F3805" s="6" t="s">
        <v>9969</v>
      </c>
      <c r="G3805" s="6" t="s">
        <v>16</v>
      </c>
      <c r="H3805" s="5">
        <v>1</v>
      </c>
      <c r="I3805" s="6" t="s">
        <v>9969</v>
      </c>
      <c r="J3805" s="5">
        <v>238</v>
      </c>
    </row>
    <row r="3806" s="2" customFormat="1" spans="1:10">
      <c r="A3806" s="6">
        <f>3804</f>
        <v>3804</v>
      </c>
      <c r="B3806" s="6" t="s">
        <v>9970</v>
      </c>
      <c r="C3806" s="6" t="s">
        <v>12</v>
      </c>
      <c r="D3806" s="6" t="s">
        <v>9344</v>
      </c>
      <c r="E3806" s="6" t="s">
        <v>9948</v>
      </c>
      <c r="F3806" s="6" t="s">
        <v>9971</v>
      </c>
      <c r="G3806" s="6" t="s">
        <v>16</v>
      </c>
      <c r="H3806" s="5">
        <v>3</v>
      </c>
      <c r="I3806" s="6" t="s">
        <v>9972</v>
      </c>
      <c r="J3806" s="5">
        <v>566</v>
      </c>
    </row>
    <row r="3807" s="2" customFormat="1" spans="1:10">
      <c r="A3807" s="6">
        <f>3805</f>
        <v>3805</v>
      </c>
      <c r="B3807" s="6" t="s">
        <v>9973</v>
      </c>
      <c r="C3807" s="6" t="s">
        <v>12</v>
      </c>
      <c r="D3807" s="6" t="s">
        <v>9344</v>
      </c>
      <c r="E3807" s="6" t="s">
        <v>9948</v>
      </c>
      <c r="F3807" s="6" t="s">
        <v>9974</v>
      </c>
      <c r="G3807" s="6" t="s">
        <v>16</v>
      </c>
      <c r="H3807" s="5">
        <v>1</v>
      </c>
      <c r="I3807" s="6" t="s">
        <v>9974</v>
      </c>
      <c r="J3807" s="5">
        <v>265</v>
      </c>
    </row>
    <row r="3808" s="2" customFormat="1" spans="1:10">
      <c r="A3808" s="6">
        <f>3806</f>
        <v>3806</v>
      </c>
      <c r="B3808" s="6" t="s">
        <v>9975</v>
      </c>
      <c r="C3808" s="6" t="s">
        <v>12</v>
      </c>
      <c r="D3808" s="6" t="s">
        <v>9344</v>
      </c>
      <c r="E3808" s="6" t="s">
        <v>9948</v>
      </c>
      <c r="F3808" s="6" t="s">
        <v>9976</v>
      </c>
      <c r="G3808" s="6" t="s">
        <v>16</v>
      </c>
      <c r="H3808" s="5">
        <v>2</v>
      </c>
      <c r="I3808" s="6" t="s">
        <v>9977</v>
      </c>
      <c r="J3808" s="5">
        <v>474</v>
      </c>
    </row>
    <row r="3809" s="2" customFormat="1" spans="1:10">
      <c r="A3809" s="6">
        <f>3807</f>
        <v>3807</v>
      </c>
      <c r="B3809" s="6" t="s">
        <v>9978</v>
      </c>
      <c r="C3809" s="6" t="s">
        <v>12</v>
      </c>
      <c r="D3809" s="6" t="s">
        <v>9344</v>
      </c>
      <c r="E3809" s="6" t="s">
        <v>9948</v>
      </c>
      <c r="F3809" s="6" t="s">
        <v>9979</v>
      </c>
      <c r="G3809" s="6" t="s">
        <v>16</v>
      </c>
      <c r="H3809" s="5">
        <v>1</v>
      </c>
      <c r="I3809" s="6" t="s">
        <v>9979</v>
      </c>
      <c r="J3809" s="5">
        <v>243</v>
      </c>
    </row>
    <row r="3810" s="2" customFormat="1" spans="1:10">
      <c r="A3810" s="6">
        <f>3808</f>
        <v>3808</v>
      </c>
      <c r="B3810" s="6" t="s">
        <v>9980</v>
      </c>
      <c r="C3810" s="6" t="s">
        <v>12</v>
      </c>
      <c r="D3810" s="6" t="s">
        <v>9344</v>
      </c>
      <c r="E3810" s="6" t="s">
        <v>9948</v>
      </c>
      <c r="F3810" s="6" t="s">
        <v>9981</v>
      </c>
      <c r="G3810" s="6" t="s">
        <v>16</v>
      </c>
      <c r="H3810" s="5">
        <v>1</v>
      </c>
      <c r="I3810" s="6" t="s">
        <v>9981</v>
      </c>
      <c r="J3810" s="5">
        <v>243</v>
      </c>
    </row>
    <row r="3811" s="2" customFormat="1" spans="1:10">
      <c r="A3811" s="6">
        <f>3809</f>
        <v>3809</v>
      </c>
      <c r="B3811" s="6" t="s">
        <v>9982</v>
      </c>
      <c r="C3811" s="6" t="s">
        <v>12</v>
      </c>
      <c r="D3811" s="6" t="s">
        <v>9344</v>
      </c>
      <c r="E3811" s="6" t="s">
        <v>9948</v>
      </c>
      <c r="F3811" s="6" t="s">
        <v>9983</v>
      </c>
      <c r="G3811" s="6" t="s">
        <v>16</v>
      </c>
      <c r="H3811" s="5">
        <v>1</v>
      </c>
      <c r="I3811" s="6" t="s">
        <v>9983</v>
      </c>
      <c r="J3811" s="5">
        <v>378</v>
      </c>
    </row>
    <row r="3812" s="2" customFormat="1" spans="1:10">
      <c r="A3812" s="6">
        <f>3810</f>
        <v>3810</v>
      </c>
      <c r="B3812" s="6" t="s">
        <v>9984</v>
      </c>
      <c r="C3812" s="6" t="s">
        <v>12</v>
      </c>
      <c r="D3812" s="6" t="s">
        <v>9344</v>
      </c>
      <c r="E3812" s="6" t="s">
        <v>9948</v>
      </c>
      <c r="F3812" s="6" t="s">
        <v>9985</v>
      </c>
      <c r="G3812" s="6" t="s">
        <v>16</v>
      </c>
      <c r="H3812" s="5">
        <v>2</v>
      </c>
      <c r="I3812" s="6" t="s">
        <v>9986</v>
      </c>
      <c r="J3812" s="5">
        <v>1080</v>
      </c>
    </row>
    <row r="3813" s="2" customFormat="1" spans="1:10">
      <c r="A3813" s="6">
        <f>3811</f>
        <v>3811</v>
      </c>
      <c r="B3813" s="6" t="s">
        <v>9987</v>
      </c>
      <c r="C3813" s="6" t="s">
        <v>12</v>
      </c>
      <c r="D3813" s="6" t="s">
        <v>9344</v>
      </c>
      <c r="E3813" s="6" t="s">
        <v>9948</v>
      </c>
      <c r="F3813" s="6" t="s">
        <v>8351</v>
      </c>
      <c r="G3813" s="6" t="s">
        <v>16</v>
      </c>
      <c r="H3813" s="5">
        <v>1</v>
      </c>
      <c r="I3813" s="6" t="s">
        <v>8351</v>
      </c>
      <c r="J3813" s="5">
        <v>238</v>
      </c>
    </row>
    <row r="3814" s="2" customFormat="1" spans="1:10">
      <c r="A3814" s="6">
        <f>3812</f>
        <v>3812</v>
      </c>
      <c r="B3814" s="6" t="s">
        <v>9988</v>
      </c>
      <c r="C3814" s="6" t="s">
        <v>12</v>
      </c>
      <c r="D3814" s="6" t="s">
        <v>9344</v>
      </c>
      <c r="E3814" s="6" t="s">
        <v>9948</v>
      </c>
      <c r="F3814" s="6" t="s">
        <v>9989</v>
      </c>
      <c r="G3814" s="6" t="s">
        <v>16</v>
      </c>
      <c r="H3814" s="5">
        <v>1</v>
      </c>
      <c r="I3814" s="6" t="s">
        <v>9989</v>
      </c>
      <c r="J3814" s="5">
        <v>248</v>
      </c>
    </row>
    <row r="3815" s="2" customFormat="1" spans="1:10">
      <c r="A3815" s="6">
        <f>3813</f>
        <v>3813</v>
      </c>
      <c r="B3815" s="6" t="s">
        <v>9990</v>
      </c>
      <c r="C3815" s="6" t="s">
        <v>12</v>
      </c>
      <c r="D3815" s="6" t="s">
        <v>9344</v>
      </c>
      <c r="E3815" s="6" t="s">
        <v>9948</v>
      </c>
      <c r="F3815" s="6" t="s">
        <v>9991</v>
      </c>
      <c r="G3815" s="6" t="s">
        <v>16</v>
      </c>
      <c r="H3815" s="5">
        <v>1</v>
      </c>
      <c r="I3815" s="6" t="s">
        <v>9991</v>
      </c>
      <c r="J3815" s="5">
        <v>243</v>
      </c>
    </row>
    <row r="3816" s="2" customFormat="1" spans="1:10">
      <c r="A3816" s="6">
        <f>3814</f>
        <v>3814</v>
      </c>
      <c r="B3816" s="6" t="s">
        <v>9992</v>
      </c>
      <c r="C3816" s="6" t="s">
        <v>12</v>
      </c>
      <c r="D3816" s="6" t="s">
        <v>9344</v>
      </c>
      <c r="E3816" s="6" t="s">
        <v>9948</v>
      </c>
      <c r="F3816" s="6" t="s">
        <v>9993</v>
      </c>
      <c r="G3816" s="6" t="s">
        <v>16</v>
      </c>
      <c r="H3816" s="5">
        <v>1</v>
      </c>
      <c r="I3816" s="6" t="s">
        <v>9993</v>
      </c>
      <c r="J3816" s="5">
        <v>243</v>
      </c>
    </row>
    <row r="3817" s="2" customFormat="1" spans="1:10">
      <c r="A3817" s="6">
        <f>3815</f>
        <v>3815</v>
      </c>
      <c r="B3817" s="6" t="s">
        <v>9994</v>
      </c>
      <c r="C3817" s="6" t="s">
        <v>12</v>
      </c>
      <c r="D3817" s="6" t="s">
        <v>9344</v>
      </c>
      <c r="E3817" s="6" t="s">
        <v>9948</v>
      </c>
      <c r="F3817" s="6" t="s">
        <v>9995</v>
      </c>
      <c r="G3817" s="6" t="s">
        <v>16</v>
      </c>
      <c r="H3817" s="5">
        <v>2</v>
      </c>
      <c r="I3817" s="6" t="s">
        <v>9996</v>
      </c>
      <c r="J3817" s="5">
        <v>590</v>
      </c>
    </row>
    <row r="3818" s="2" customFormat="1" spans="1:10">
      <c r="A3818" s="6">
        <f>3816</f>
        <v>3816</v>
      </c>
      <c r="B3818" s="6" t="s">
        <v>9997</v>
      </c>
      <c r="C3818" s="6" t="s">
        <v>12</v>
      </c>
      <c r="D3818" s="6" t="s">
        <v>9344</v>
      </c>
      <c r="E3818" s="6" t="s">
        <v>9948</v>
      </c>
      <c r="F3818" s="6" t="s">
        <v>9998</v>
      </c>
      <c r="G3818" s="6" t="s">
        <v>16</v>
      </c>
      <c r="H3818" s="5">
        <v>1</v>
      </c>
      <c r="I3818" s="6" t="s">
        <v>9998</v>
      </c>
      <c r="J3818" s="5">
        <v>238</v>
      </c>
    </row>
    <row r="3819" s="2" customFormat="1" spans="1:10">
      <c r="A3819" s="6">
        <f>3817</f>
        <v>3817</v>
      </c>
      <c r="B3819" s="6" t="s">
        <v>9999</v>
      </c>
      <c r="C3819" s="6" t="s">
        <v>12</v>
      </c>
      <c r="D3819" s="6" t="s">
        <v>9344</v>
      </c>
      <c r="E3819" s="6" t="s">
        <v>9948</v>
      </c>
      <c r="F3819" s="6" t="s">
        <v>10000</v>
      </c>
      <c r="G3819" s="6" t="s">
        <v>16</v>
      </c>
      <c r="H3819" s="5">
        <v>1</v>
      </c>
      <c r="I3819" s="6" t="s">
        <v>10000</v>
      </c>
      <c r="J3819" s="5">
        <v>362</v>
      </c>
    </row>
    <row r="3820" s="2" customFormat="1" spans="1:10">
      <c r="A3820" s="6">
        <f>3818</f>
        <v>3818</v>
      </c>
      <c r="B3820" s="6" t="s">
        <v>10001</v>
      </c>
      <c r="C3820" s="6" t="s">
        <v>12</v>
      </c>
      <c r="D3820" s="6" t="s">
        <v>9344</v>
      </c>
      <c r="E3820" s="6" t="s">
        <v>9948</v>
      </c>
      <c r="F3820" s="6" t="s">
        <v>10002</v>
      </c>
      <c r="G3820" s="6" t="s">
        <v>16</v>
      </c>
      <c r="H3820" s="5">
        <v>1</v>
      </c>
      <c r="I3820" s="6" t="s">
        <v>10002</v>
      </c>
      <c r="J3820" s="5">
        <v>310</v>
      </c>
    </row>
    <row r="3821" s="2" customFormat="1" ht="27" spans="1:10">
      <c r="A3821" s="6">
        <f>3819</f>
        <v>3819</v>
      </c>
      <c r="B3821" s="6" t="s">
        <v>10003</v>
      </c>
      <c r="C3821" s="6" t="s">
        <v>12</v>
      </c>
      <c r="D3821" s="6" t="s">
        <v>9344</v>
      </c>
      <c r="E3821" s="6" t="s">
        <v>9948</v>
      </c>
      <c r="F3821" s="6" t="s">
        <v>10004</v>
      </c>
      <c r="G3821" s="6" t="s">
        <v>16</v>
      </c>
      <c r="H3821" s="5">
        <v>6</v>
      </c>
      <c r="I3821" s="6" t="s">
        <v>10005</v>
      </c>
      <c r="J3821" s="5">
        <v>2160</v>
      </c>
    </row>
    <row r="3822" s="2" customFormat="1" spans="1:10">
      <c r="A3822" s="6">
        <f>3820</f>
        <v>3820</v>
      </c>
      <c r="B3822" s="6" t="s">
        <v>10006</v>
      </c>
      <c r="C3822" s="6" t="s">
        <v>12</v>
      </c>
      <c r="D3822" s="6" t="s">
        <v>9344</v>
      </c>
      <c r="E3822" s="6" t="s">
        <v>9948</v>
      </c>
      <c r="F3822" s="6" t="s">
        <v>10007</v>
      </c>
      <c r="G3822" s="6" t="s">
        <v>16</v>
      </c>
      <c r="H3822" s="5">
        <v>2</v>
      </c>
      <c r="I3822" s="6" t="s">
        <v>10008</v>
      </c>
      <c r="J3822" s="5">
        <v>980</v>
      </c>
    </row>
    <row r="3823" s="2" customFormat="1" spans="1:10">
      <c r="A3823" s="6">
        <f>3821</f>
        <v>3821</v>
      </c>
      <c r="B3823" s="6" t="s">
        <v>10009</v>
      </c>
      <c r="C3823" s="6" t="s">
        <v>12</v>
      </c>
      <c r="D3823" s="6" t="s">
        <v>9344</v>
      </c>
      <c r="E3823" s="6" t="s">
        <v>9948</v>
      </c>
      <c r="F3823" s="6" t="s">
        <v>10010</v>
      </c>
      <c r="G3823" s="6" t="s">
        <v>16</v>
      </c>
      <c r="H3823" s="5">
        <v>1</v>
      </c>
      <c r="I3823" s="6" t="s">
        <v>10010</v>
      </c>
      <c r="J3823" s="5">
        <v>238</v>
      </c>
    </row>
    <row r="3824" s="2" customFormat="1" spans="1:10">
      <c r="A3824" s="6">
        <f>3822</f>
        <v>3822</v>
      </c>
      <c r="B3824" s="6" t="s">
        <v>10011</v>
      </c>
      <c r="C3824" s="6" t="s">
        <v>12</v>
      </c>
      <c r="D3824" s="6" t="s">
        <v>9344</v>
      </c>
      <c r="E3824" s="6" t="s">
        <v>9948</v>
      </c>
      <c r="F3824" s="6" t="s">
        <v>10012</v>
      </c>
      <c r="G3824" s="6" t="s">
        <v>16</v>
      </c>
      <c r="H3824" s="5">
        <v>3</v>
      </c>
      <c r="I3824" s="6" t="s">
        <v>10013</v>
      </c>
      <c r="J3824" s="5">
        <v>1180</v>
      </c>
    </row>
    <row r="3825" s="2" customFormat="1" spans="1:10">
      <c r="A3825" s="6">
        <f>3823</f>
        <v>3823</v>
      </c>
      <c r="B3825" s="6" t="s">
        <v>10014</v>
      </c>
      <c r="C3825" s="6" t="s">
        <v>12</v>
      </c>
      <c r="D3825" s="6" t="s">
        <v>9344</v>
      </c>
      <c r="E3825" s="6" t="s">
        <v>9948</v>
      </c>
      <c r="F3825" s="6" t="s">
        <v>10015</v>
      </c>
      <c r="G3825" s="6" t="s">
        <v>16</v>
      </c>
      <c r="H3825" s="5">
        <v>2</v>
      </c>
      <c r="I3825" s="6" t="s">
        <v>10016</v>
      </c>
      <c r="J3825" s="5">
        <v>474</v>
      </c>
    </row>
    <row r="3826" s="2" customFormat="1" spans="1:10">
      <c r="A3826" s="6">
        <f>3824</f>
        <v>3824</v>
      </c>
      <c r="B3826" s="6" t="s">
        <v>10017</v>
      </c>
      <c r="C3826" s="6" t="s">
        <v>12</v>
      </c>
      <c r="D3826" s="6" t="s">
        <v>9344</v>
      </c>
      <c r="E3826" s="6" t="s">
        <v>9948</v>
      </c>
      <c r="F3826" s="6" t="s">
        <v>10018</v>
      </c>
      <c r="G3826" s="6" t="s">
        <v>16</v>
      </c>
      <c r="H3826" s="5">
        <v>3</v>
      </c>
      <c r="I3826" s="6" t="s">
        <v>10019</v>
      </c>
      <c r="J3826" s="5">
        <v>378</v>
      </c>
    </row>
    <row r="3827" s="2" customFormat="1" spans="1:10">
      <c r="A3827" s="6">
        <f>3825</f>
        <v>3825</v>
      </c>
      <c r="B3827" s="6" t="s">
        <v>10020</v>
      </c>
      <c r="C3827" s="6" t="s">
        <v>12</v>
      </c>
      <c r="D3827" s="6" t="s">
        <v>9344</v>
      </c>
      <c r="E3827" s="6" t="s">
        <v>9948</v>
      </c>
      <c r="F3827" s="6" t="s">
        <v>10021</v>
      </c>
      <c r="G3827" s="6" t="s">
        <v>16</v>
      </c>
      <c r="H3827" s="5">
        <v>1</v>
      </c>
      <c r="I3827" s="6" t="s">
        <v>10021</v>
      </c>
      <c r="J3827" s="5">
        <v>460</v>
      </c>
    </row>
    <row r="3828" s="2" customFormat="1" spans="1:10">
      <c r="A3828" s="6">
        <f>3826</f>
        <v>3826</v>
      </c>
      <c r="B3828" s="6" t="s">
        <v>10022</v>
      </c>
      <c r="C3828" s="6" t="s">
        <v>12</v>
      </c>
      <c r="D3828" s="6" t="s">
        <v>9344</v>
      </c>
      <c r="E3828" s="6" t="s">
        <v>9948</v>
      </c>
      <c r="F3828" s="6" t="s">
        <v>10023</v>
      </c>
      <c r="G3828" s="6" t="s">
        <v>16</v>
      </c>
      <c r="H3828" s="5">
        <v>1</v>
      </c>
      <c r="I3828" s="6" t="s">
        <v>10023</v>
      </c>
      <c r="J3828" s="5">
        <v>362</v>
      </c>
    </row>
    <row r="3829" s="2" customFormat="1" spans="1:10">
      <c r="A3829" s="6">
        <f>3827</f>
        <v>3827</v>
      </c>
      <c r="B3829" s="6" t="s">
        <v>10024</v>
      </c>
      <c r="C3829" s="6" t="s">
        <v>12</v>
      </c>
      <c r="D3829" s="6" t="s">
        <v>9344</v>
      </c>
      <c r="E3829" s="6" t="s">
        <v>9948</v>
      </c>
      <c r="F3829" s="6" t="s">
        <v>10025</v>
      </c>
      <c r="G3829" s="6" t="s">
        <v>16</v>
      </c>
      <c r="H3829" s="5">
        <v>1</v>
      </c>
      <c r="I3829" s="6" t="s">
        <v>10025</v>
      </c>
      <c r="J3829" s="5">
        <v>460</v>
      </c>
    </row>
    <row r="3830" s="2" customFormat="1" spans="1:10">
      <c r="A3830" s="6">
        <f>3828</f>
        <v>3828</v>
      </c>
      <c r="B3830" s="6" t="s">
        <v>10026</v>
      </c>
      <c r="C3830" s="6" t="s">
        <v>12</v>
      </c>
      <c r="D3830" s="6" t="s">
        <v>9344</v>
      </c>
      <c r="E3830" s="6" t="s">
        <v>9948</v>
      </c>
      <c r="F3830" s="6" t="s">
        <v>10027</v>
      </c>
      <c r="G3830" s="6" t="s">
        <v>16</v>
      </c>
      <c r="H3830" s="5">
        <v>2</v>
      </c>
      <c r="I3830" s="6" t="s">
        <v>10028</v>
      </c>
      <c r="J3830" s="5">
        <v>980</v>
      </c>
    </row>
    <row r="3831" s="2" customFormat="1" ht="27" spans="1:10">
      <c r="A3831" s="6">
        <f>3829</f>
        <v>3829</v>
      </c>
      <c r="B3831" s="6" t="s">
        <v>10029</v>
      </c>
      <c r="C3831" s="6" t="s">
        <v>12</v>
      </c>
      <c r="D3831" s="6" t="s">
        <v>9344</v>
      </c>
      <c r="E3831" s="6" t="s">
        <v>9948</v>
      </c>
      <c r="F3831" s="6" t="s">
        <v>10030</v>
      </c>
      <c r="G3831" s="6" t="s">
        <v>16</v>
      </c>
      <c r="H3831" s="5">
        <v>6</v>
      </c>
      <c r="I3831" s="6" t="s">
        <v>10031</v>
      </c>
      <c r="J3831" s="5">
        <v>1215</v>
      </c>
    </row>
    <row r="3832" s="2" customFormat="1" spans="1:10">
      <c r="A3832" s="6">
        <f>3830</f>
        <v>3830</v>
      </c>
      <c r="B3832" s="6" t="s">
        <v>10032</v>
      </c>
      <c r="C3832" s="6" t="s">
        <v>12</v>
      </c>
      <c r="D3832" s="6" t="s">
        <v>9344</v>
      </c>
      <c r="E3832" s="6" t="s">
        <v>9948</v>
      </c>
      <c r="F3832" s="6" t="s">
        <v>10033</v>
      </c>
      <c r="G3832" s="6" t="s">
        <v>16</v>
      </c>
      <c r="H3832" s="5">
        <v>1</v>
      </c>
      <c r="I3832" s="6" t="s">
        <v>10033</v>
      </c>
      <c r="J3832" s="5">
        <v>540</v>
      </c>
    </row>
    <row r="3833" s="2" customFormat="1" spans="1:10">
      <c r="A3833" s="6">
        <f>3831</f>
        <v>3831</v>
      </c>
      <c r="B3833" s="6" t="s">
        <v>10034</v>
      </c>
      <c r="C3833" s="6" t="s">
        <v>12</v>
      </c>
      <c r="D3833" s="6" t="s">
        <v>9344</v>
      </c>
      <c r="E3833" s="6" t="s">
        <v>9948</v>
      </c>
      <c r="F3833" s="6" t="s">
        <v>10035</v>
      </c>
      <c r="G3833" s="6" t="s">
        <v>16</v>
      </c>
      <c r="H3833" s="5">
        <v>1</v>
      </c>
      <c r="I3833" s="6" t="s">
        <v>10035</v>
      </c>
      <c r="J3833" s="5">
        <v>302</v>
      </c>
    </row>
    <row r="3834" s="2" customFormat="1" spans="1:10">
      <c r="A3834" s="6">
        <f>3832</f>
        <v>3832</v>
      </c>
      <c r="B3834" s="6" t="s">
        <v>10036</v>
      </c>
      <c r="C3834" s="6" t="s">
        <v>12</v>
      </c>
      <c r="D3834" s="6" t="s">
        <v>9344</v>
      </c>
      <c r="E3834" s="6" t="s">
        <v>9948</v>
      </c>
      <c r="F3834" s="6" t="s">
        <v>10037</v>
      </c>
      <c r="G3834" s="6" t="s">
        <v>16</v>
      </c>
      <c r="H3834" s="5">
        <v>1</v>
      </c>
      <c r="I3834" s="6" t="s">
        <v>10037</v>
      </c>
      <c r="J3834" s="5">
        <v>460</v>
      </c>
    </row>
    <row r="3835" s="2" customFormat="1" spans="1:10">
      <c r="A3835" s="6">
        <f>3833</f>
        <v>3833</v>
      </c>
      <c r="B3835" s="6" t="s">
        <v>10038</v>
      </c>
      <c r="C3835" s="6" t="s">
        <v>12</v>
      </c>
      <c r="D3835" s="6" t="s">
        <v>9344</v>
      </c>
      <c r="E3835" s="6" t="s">
        <v>9948</v>
      </c>
      <c r="F3835" s="6" t="s">
        <v>10039</v>
      </c>
      <c r="G3835" s="6" t="s">
        <v>16</v>
      </c>
      <c r="H3835" s="5">
        <v>1</v>
      </c>
      <c r="I3835" s="6" t="s">
        <v>10039</v>
      </c>
      <c r="J3835" s="5">
        <v>270</v>
      </c>
    </row>
    <row r="3836" s="2" customFormat="1" ht="27" spans="1:10">
      <c r="A3836" s="6">
        <f>3834</f>
        <v>3834</v>
      </c>
      <c r="B3836" s="6" t="s">
        <v>10040</v>
      </c>
      <c r="C3836" s="6" t="s">
        <v>12</v>
      </c>
      <c r="D3836" s="6" t="s">
        <v>9344</v>
      </c>
      <c r="E3836" s="6" t="s">
        <v>9948</v>
      </c>
      <c r="F3836" s="6" t="s">
        <v>10041</v>
      </c>
      <c r="G3836" s="6" t="s">
        <v>16</v>
      </c>
      <c r="H3836" s="5">
        <v>5</v>
      </c>
      <c r="I3836" s="6" t="s">
        <v>10042</v>
      </c>
      <c r="J3836" s="5">
        <v>520</v>
      </c>
    </row>
    <row r="3837" s="2" customFormat="1" spans="1:10">
      <c r="A3837" s="6">
        <f>3835</f>
        <v>3835</v>
      </c>
      <c r="B3837" s="6" t="s">
        <v>10043</v>
      </c>
      <c r="C3837" s="6" t="s">
        <v>12</v>
      </c>
      <c r="D3837" s="6" t="s">
        <v>9344</v>
      </c>
      <c r="E3837" s="6" t="s">
        <v>9948</v>
      </c>
      <c r="F3837" s="6" t="s">
        <v>10044</v>
      </c>
      <c r="G3837" s="6" t="s">
        <v>16</v>
      </c>
      <c r="H3837" s="5">
        <v>1</v>
      </c>
      <c r="I3837" s="6" t="s">
        <v>10044</v>
      </c>
      <c r="J3837" s="5">
        <v>243</v>
      </c>
    </row>
    <row r="3838" s="2" customFormat="1" ht="27" spans="1:10">
      <c r="A3838" s="6">
        <f>3836</f>
        <v>3836</v>
      </c>
      <c r="B3838" s="6" t="s">
        <v>10045</v>
      </c>
      <c r="C3838" s="6" t="s">
        <v>12</v>
      </c>
      <c r="D3838" s="6" t="s">
        <v>9344</v>
      </c>
      <c r="E3838" s="6" t="s">
        <v>9948</v>
      </c>
      <c r="F3838" s="6" t="s">
        <v>10046</v>
      </c>
      <c r="G3838" s="6" t="s">
        <v>16</v>
      </c>
      <c r="H3838" s="5">
        <v>4</v>
      </c>
      <c r="I3838" s="6" t="s">
        <v>10047</v>
      </c>
      <c r="J3838" s="5">
        <v>852</v>
      </c>
    </row>
    <row r="3839" s="2" customFormat="1" spans="1:10">
      <c r="A3839" s="6">
        <f>3837</f>
        <v>3837</v>
      </c>
      <c r="B3839" s="6" t="s">
        <v>10048</v>
      </c>
      <c r="C3839" s="6" t="s">
        <v>12</v>
      </c>
      <c r="D3839" s="6" t="s">
        <v>9344</v>
      </c>
      <c r="E3839" s="6" t="s">
        <v>9948</v>
      </c>
      <c r="F3839" s="6" t="s">
        <v>10049</v>
      </c>
      <c r="G3839" s="6" t="s">
        <v>16</v>
      </c>
      <c r="H3839" s="5">
        <v>1</v>
      </c>
      <c r="I3839" s="6" t="s">
        <v>10049</v>
      </c>
      <c r="J3839" s="5">
        <v>243</v>
      </c>
    </row>
    <row r="3840" s="2" customFormat="1" ht="27" spans="1:10">
      <c r="A3840" s="6">
        <f>3838</f>
        <v>3838</v>
      </c>
      <c r="B3840" s="6" t="s">
        <v>10050</v>
      </c>
      <c r="C3840" s="6" t="s">
        <v>12</v>
      </c>
      <c r="D3840" s="6" t="s">
        <v>9344</v>
      </c>
      <c r="E3840" s="6" t="s">
        <v>9948</v>
      </c>
      <c r="F3840" s="6" t="s">
        <v>10051</v>
      </c>
      <c r="G3840" s="6" t="s">
        <v>16</v>
      </c>
      <c r="H3840" s="5">
        <v>6</v>
      </c>
      <c r="I3840" s="6" t="s">
        <v>10052</v>
      </c>
      <c r="J3840" s="5">
        <v>870</v>
      </c>
    </row>
    <row r="3841" s="2" customFormat="1" spans="1:10">
      <c r="A3841" s="6">
        <f>3839</f>
        <v>3839</v>
      </c>
      <c r="B3841" s="6" t="s">
        <v>10053</v>
      </c>
      <c r="C3841" s="6" t="s">
        <v>12</v>
      </c>
      <c r="D3841" s="6" t="s">
        <v>9344</v>
      </c>
      <c r="E3841" s="6" t="s">
        <v>9948</v>
      </c>
      <c r="F3841" s="6" t="s">
        <v>10054</v>
      </c>
      <c r="G3841" s="6" t="s">
        <v>16</v>
      </c>
      <c r="H3841" s="5">
        <v>1</v>
      </c>
      <c r="I3841" s="6" t="s">
        <v>10054</v>
      </c>
      <c r="J3841" s="5">
        <v>238</v>
      </c>
    </row>
    <row r="3842" s="2" customFormat="1" spans="1:10">
      <c r="A3842" s="6">
        <f>3840</f>
        <v>3840</v>
      </c>
      <c r="B3842" s="6" t="s">
        <v>10055</v>
      </c>
      <c r="C3842" s="6" t="s">
        <v>12</v>
      </c>
      <c r="D3842" s="6" t="s">
        <v>9344</v>
      </c>
      <c r="E3842" s="6" t="s">
        <v>9948</v>
      </c>
      <c r="F3842" s="6" t="s">
        <v>10056</v>
      </c>
      <c r="G3842" s="6" t="s">
        <v>16</v>
      </c>
      <c r="H3842" s="5">
        <v>2</v>
      </c>
      <c r="I3842" s="6" t="s">
        <v>10057</v>
      </c>
      <c r="J3842" s="5">
        <v>530</v>
      </c>
    </row>
    <row r="3843" s="2" customFormat="1" spans="1:10">
      <c r="A3843" s="6">
        <f>3841</f>
        <v>3841</v>
      </c>
      <c r="B3843" s="6" t="s">
        <v>10058</v>
      </c>
      <c r="C3843" s="6" t="s">
        <v>12</v>
      </c>
      <c r="D3843" s="6" t="s">
        <v>9344</v>
      </c>
      <c r="E3843" s="6" t="s">
        <v>9948</v>
      </c>
      <c r="F3843" s="6" t="s">
        <v>10059</v>
      </c>
      <c r="G3843" s="6" t="s">
        <v>16</v>
      </c>
      <c r="H3843" s="5">
        <v>1</v>
      </c>
      <c r="I3843" s="6" t="s">
        <v>10059</v>
      </c>
      <c r="J3843" s="5">
        <v>238</v>
      </c>
    </row>
    <row r="3844" s="2" customFormat="1" spans="1:10">
      <c r="A3844" s="6">
        <f>3842</f>
        <v>3842</v>
      </c>
      <c r="B3844" s="6" t="s">
        <v>10060</v>
      </c>
      <c r="C3844" s="6" t="s">
        <v>12</v>
      </c>
      <c r="D3844" s="6" t="s">
        <v>9344</v>
      </c>
      <c r="E3844" s="6" t="s">
        <v>9948</v>
      </c>
      <c r="F3844" s="6" t="s">
        <v>10061</v>
      </c>
      <c r="G3844" s="6" t="s">
        <v>16</v>
      </c>
      <c r="H3844" s="5">
        <v>1</v>
      </c>
      <c r="I3844" s="6" t="s">
        <v>10061</v>
      </c>
      <c r="J3844" s="5">
        <v>265</v>
      </c>
    </row>
    <row r="3845" s="2" customFormat="1" spans="1:10">
      <c r="A3845" s="6">
        <f>3843</f>
        <v>3843</v>
      </c>
      <c r="B3845" s="6" t="s">
        <v>10062</v>
      </c>
      <c r="C3845" s="6" t="s">
        <v>12</v>
      </c>
      <c r="D3845" s="6" t="s">
        <v>9344</v>
      </c>
      <c r="E3845" s="6" t="s">
        <v>9948</v>
      </c>
      <c r="F3845" s="6" t="s">
        <v>10063</v>
      </c>
      <c r="G3845" s="6" t="s">
        <v>16</v>
      </c>
      <c r="H3845" s="5">
        <v>2</v>
      </c>
      <c r="I3845" s="6" t="s">
        <v>10064</v>
      </c>
      <c r="J3845" s="5">
        <v>457</v>
      </c>
    </row>
    <row r="3846" s="2" customFormat="1" ht="27" spans="1:10">
      <c r="A3846" s="6">
        <f>3844</f>
        <v>3844</v>
      </c>
      <c r="B3846" s="6" t="s">
        <v>10065</v>
      </c>
      <c r="C3846" s="6" t="s">
        <v>12</v>
      </c>
      <c r="D3846" s="6" t="s">
        <v>9344</v>
      </c>
      <c r="E3846" s="6" t="s">
        <v>9948</v>
      </c>
      <c r="F3846" s="6" t="s">
        <v>10066</v>
      </c>
      <c r="G3846" s="6" t="s">
        <v>16</v>
      </c>
      <c r="H3846" s="5">
        <v>6</v>
      </c>
      <c r="I3846" s="6" t="s">
        <v>10067</v>
      </c>
      <c r="J3846" s="5">
        <v>1264</v>
      </c>
    </row>
    <row r="3847" s="2" customFormat="1" spans="1:10">
      <c r="A3847" s="6">
        <f>3845</f>
        <v>3845</v>
      </c>
      <c r="B3847" s="6" t="s">
        <v>10068</v>
      </c>
      <c r="C3847" s="6" t="s">
        <v>12</v>
      </c>
      <c r="D3847" s="6" t="s">
        <v>9344</v>
      </c>
      <c r="E3847" s="6" t="s">
        <v>9948</v>
      </c>
      <c r="F3847" s="6" t="s">
        <v>10069</v>
      </c>
      <c r="G3847" s="6" t="s">
        <v>16</v>
      </c>
      <c r="H3847" s="5">
        <v>2</v>
      </c>
      <c r="I3847" s="6" t="s">
        <v>10070</v>
      </c>
      <c r="J3847" s="5">
        <v>510</v>
      </c>
    </row>
    <row r="3848" s="2" customFormat="1" spans="1:10">
      <c r="A3848" s="6">
        <f>3846</f>
        <v>3846</v>
      </c>
      <c r="B3848" s="6" t="s">
        <v>10071</v>
      </c>
      <c r="C3848" s="6" t="s">
        <v>12</v>
      </c>
      <c r="D3848" s="6" t="s">
        <v>9344</v>
      </c>
      <c r="E3848" s="6" t="s">
        <v>9948</v>
      </c>
      <c r="F3848" s="6" t="s">
        <v>10072</v>
      </c>
      <c r="G3848" s="6" t="s">
        <v>16</v>
      </c>
      <c r="H3848" s="5">
        <v>3</v>
      </c>
      <c r="I3848" s="6" t="s">
        <v>10073</v>
      </c>
      <c r="J3848" s="5">
        <v>840</v>
      </c>
    </row>
    <row r="3849" s="2" customFormat="1" spans="1:10">
      <c r="A3849" s="6">
        <f>3847</f>
        <v>3847</v>
      </c>
      <c r="B3849" s="6" t="s">
        <v>10074</v>
      </c>
      <c r="C3849" s="6" t="s">
        <v>12</v>
      </c>
      <c r="D3849" s="6" t="s">
        <v>9344</v>
      </c>
      <c r="E3849" s="6" t="s">
        <v>10075</v>
      </c>
      <c r="F3849" s="6" t="s">
        <v>10076</v>
      </c>
      <c r="G3849" s="6" t="s">
        <v>16</v>
      </c>
      <c r="H3849" s="5">
        <v>1</v>
      </c>
      <c r="I3849" s="6" t="s">
        <v>10076</v>
      </c>
      <c r="J3849" s="5">
        <v>260</v>
      </c>
    </row>
    <row r="3850" s="2" customFormat="1" spans="1:10">
      <c r="A3850" s="6">
        <f>3848</f>
        <v>3848</v>
      </c>
      <c r="B3850" s="6" t="s">
        <v>10077</v>
      </c>
      <c r="C3850" s="6" t="s">
        <v>12</v>
      </c>
      <c r="D3850" s="6" t="s">
        <v>9344</v>
      </c>
      <c r="E3850" s="6" t="s">
        <v>10075</v>
      </c>
      <c r="F3850" s="6" t="s">
        <v>10078</v>
      </c>
      <c r="G3850" s="6" t="s">
        <v>16</v>
      </c>
      <c r="H3850" s="5">
        <v>3</v>
      </c>
      <c r="I3850" s="6" t="s">
        <v>10079</v>
      </c>
      <c r="J3850" s="5">
        <v>1120</v>
      </c>
    </row>
    <row r="3851" s="2" customFormat="1" spans="1:10">
      <c r="A3851" s="6">
        <f>3849</f>
        <v>3849</v>
      </c>
      <c r="B3851" s="6" t="s">
        <v>10080</v>
      </c>
      <c r="C3851" s="6" t="s">
        <v>12</v>
      </c>
      <c r="D3851" s="6" t="s">
        <v>9344</v>
      </c>
      <c r="E3851" s="6" t="s">
        <v>10075</v>
      </c>
      <c r="F3851" s="6" t="s">
        <v>10081</v>
      </c>
      <c r="G3851" s="6" t="s">
        <v>16</v>
      </c>
      <c r="H3851" s="5">
        <v>1</v>
      </c>
      <c r="I3851" s="6" t="s">
        <v>10081</v>
      </c>
      <c r="J3851" s="5">
        <v>360</v>
      </c>
    </row>
    <row r="3852" s="2" customFormat="1" spans="1:10">
      <c r="A3852" s="6">
        <f>3850</f>
        <v>3850</v>
      </c>
      <c r="B3852" s="6" t="s">
        <v>10082</v>
      </c>
      <c r="C3852" s="6" t="s">
        <v>12</v>
      </c>
      <c r="D3852" s="6" t="s">
        <v>9344</v>
      </c>
      <c r="E3852" s="6" t="s">
        <v>10075</v>
      </c>
      <c r="F3852" s="6" t="s">
        <v>10083</v>
      </c>
      <c r="G3852" s="6" t="s">
        <v>16</v>
      </c>
      <c r="H3852" s="5">
        <v>2</v>
      </c>
      <c r="I3852" s="6" t="s">
        <v>10084</v>
      </c>
      <c r="J3852" s="5">
        <v>720</v>
      </c>
    </row>
    <row r="3853" s="2" customFormat="1" spans="1:10">
      <c r="A3853" s="6">
        <f>3851</f>
        <v>3851</v>
      </c>
      <c r="B3853" s="6" t="s">
        <v>10085</v>
      </c>
      <c r="C3853" s="6" t="s">
        <v>12</v>
      </c>
      <c r="D3853" s="6" t="s">
        <v>9344</v>
      </c>
      <c r="E3853" s="6" t="s">
        <v>10075</v>
      </c>
      <c r="F3853" s="6" t="s">
        <v>10086</v>
      </c>
      <c r="G3853" s="6" t="s">
        <v>16</v>
      </c>
      <c r="H3853" s="5">
        <v>2</v>
      </c>
      <c r="I3853" s="6" t="s">
        <v>10087</v>
      </c>
      <c r="J3853" s="5">
        <v>520</v>
      </c>
    </row>
    <row r="3854" s="2" customFormat="1" spans="1:10">
      <c r="A3854" s="6">
        <f>3852</f>
        <v>3852</v>
      </c>
      <c r="B3854" s="6" t="s">
        <v>10088</v>
      </c>
      <c r="C3854" s="6" t="s">
        <v>12</v>
      </c>
      <c r="D3854" s="6" t="s">
        <v>9344</v>
      </c>
      <c r="E3854" s="6" t="s">
        <v>10075</v>
      </c>
      <c r="F3854" s="6" t="s">
        <v>10089</v>
      </c>
      <c r="G3854" s="6" t="s">
        <v>16</v>
      </c>
      <c r="H3854" s="5">
        <v>1</v>
      </c>
      <c r="I3854" s="6" t="s">
        <v>10089</v>
      </c>
      <c r="J3854" s="5">
        <v>600</v>
      </c>
    </row>
    <row r="3855" s="2" customFormat="1" spans="1:10">
      <c r="A3855" s="6">
        <f>3853</f>
        <v>3853</v>
      </c>
      <c r="B3855" s="6" t="s">
        <v>10090</v>
      </c>
      <c r="C3855" s="6" t="s">
        <v>12</v>
      </c>
      <c r="D3855" s="6" t="s">
        <v>9344</v>
      </c>
      <c r="E3855" s="6" t="s">
        <v>10075</v>
      </c>
      <c r="F3855" s="6" t="s">
        <v>10091</v>
      </c>
      <c r="G3855" s="6" t="s">
        <v>16</v>
      </c>
      <c r="H3855" s="5">
        <v>2</v>
      </c>
      <c r="I3855" s="6" t="s">
        <v>10092</v>
      </c>
      <c r="J3855" s="5">
        <v>680</v>
      </c>
    </row>
    <row r="3856" s="2" customFormat="1" spans="1:10">
      <c r="A3856" s="6">
        <f>3854</f>
        <v>3854</v>
      </c>
      <c r="B3856" s="6" t="s">
        <v>10093</v>
      </c>
      <c r="C3856" s="6" t="s">
        <v>12</v>
      </c>
      <c r="D3856" s="6" t="s">
        <v>9344</v>
      </c>
      <c r="E3856" s="6" t="s">
        <v>10075</v>
      </c>
      <c r="F3856" s="6" t="s">
        <v>10094</v>
      </c>
      <c r="G3856" s="6" t="s">
        <v>16</v>
      </c>
      <c r="H3856" s="5">
        <v>1</v>
      </c>
      <c r="I3856" s="6" t="s">
        <v>10094</v>
      </c>
      <c r="J3856" s="5">
        <v>300</v>
      </c>
    </row>
    <row r="3857" s="2" customFormat="1" ht="27" spans="1:10">
      <c r="A3857" s="6">
        <f>3855</f>
        <v>3855</v>
      </c>
      <c r="B3857" s="6" t="s">
        <v>10095</v>
      </c>
      <c r="C3857" s="6" t="s">
        <v>12</v>
      </c>
      <c r="D3857" s="6" t="s">
        <v>9344</v>
      </c>
      <c r="E3857" s="6" t="s">
        <v>10075</v>
      </c>
      <c r="F3857" s="6" t="s">
        <v>10096</v>
      </c>
      <c r="G3857" s="6" t="s">
        <v>16</v>
      </c>
      <c r="H3857" s="5">
        <v>4</v>
      </c>
      <c r="I3857" s="6" t="s">
        <v>10097</v>
      </c>
      <c r="J3857" s="5">
        <v>740</v>
      </c>
    </row>
    <row r="3858" s="2" customFormat="1" spans="1:10">
      <c r="A3858" s="6">
        <f>3856</f>
        <v>3856</v>
      </c>
      <c r="B3858" s="6" t="s">
        <v>10098</v>
      </c>
      <c r="C3858" s="6" t="s">
        <v>12</v>
      </c>
      <c r="D3858" s="6" t="s">
        <v>9344</v>
      </c>
      <c r="E3858" s="6" t="s">
        <v>10075</v>
      </c>
      <c r="F3858" s="6" t="s">
        <v>10099</v>
      </c>
      <c r="G3858" s="6" t="s">
        <v>16</v>
      </c>
      <c r="H3858" s="5">
        <v>2</v>
      </c>
      <c r="I3858" s="6" t="s">
        <v>10100</v>
      </c>
      <c r="J3858" s="5">
        <v>680</v>
      </c>
    </row>
    <row r="3859" s="2" customFormat="1" spans="1:10">
      <c r="A3859" s="6">
        <f>3857</f>
        <v>3857</v>
      </c>
      <c r="B3859" s="6" t="s">
        <v>10101</v>
      </c>
      <c r="C3859" s="6" t="s">
        <v>12</v>
      </c>
      <c r="D3859" s="6" t="s">
        <v>9344</v>
      </c>
      <c r="E3859" s="6" t="s">
        <v>10075</v>
      </c>
      <c r="F3859" s="6" t="s">
        <v>10102</v>
      </c>
      <c r="G3859" s="6" t="s">
        <v>16</v>
      </c>
      <c r="H3859" s="5">
        <v>1</v>
      </c>
      <c r="I3859" s="6" t="s">
        <v>10102</v>
      </c>
      <c r="J3859" s="5">
        <v>620</v>
      </c>
    </row>
    <row r="3860" s="2" customFormat="1" spans="1:10">
      <c r="A3860" s="6">
        <f>3858</f>
        <v>3858</v>
      </c>
      <c r="B3860" s="6" t="s">
        <v>10103</v>
      </c>
      <c r="C3860" s="6" t="s">
        <v>12</v>
      </c>
      <c r="D3860" s="6" t="s">
        <v>9344</v>
      </c>
      <c r="E3860" s="6" t="s">
        <v>10075</v>
      </c>
      <c r="F3860" s="6" t="s">
        <v>10104</v>
      </c>
      <c r="G3860" s="6" t="s">
        <v>16</v>
      </c>
      <c r="H3860" s="5">
        <v>1</v>
      </c>
      <c r="I3860" s="6" t="s">
        <v>10104</v>
      </c>
      <c r="J3860" s="5">
        <v>440</v>
      </c>
    </row>
    <row r="3861" s="2" customFormat="1" spans="1:10">
      <c r="A3861" s="6">
        <f>3859</f>
        <v>3859</v>
      </c>
      <c r="B3861" s="6" t="s">
        <v>10105</v>
      </c>
      <c r="C3861" s="6" t="s">
        <v>12</v>
      </c>
      <c r="D3861" s="6" t="s">
        <v>9344</v>
      </c>
      <c r="E3861" s="6" t="s">
        <v>10075</v>
      </c>
      <c r="F3861" s="6" t="s">
        <v>10106</v>
      </c>
      <c r="G3861" s="6" t="s">
        <v>16</v>
      </c>
      <c r="H3861" s="5">
        <v>1</v>
      </c>
      <c r="I3861" s="6" t="s">
        <v>10106</v>
      </c>
      <c r="J3861" s="5">
        <v>265</v>
      </c>
    </row>
    <row r="3862" s="2" customFormat="1" spans="1:10">
      <c r="A3862" s="6">
        <f>3860</f>
        <v>3860</v>
      </c>
      <c r="B3862" s="6" t="s">
        <v>10107</v>
      </c>
      <c r="C3862" s="6" t="s">
        <v>12</v>
      </c>
      <c r="D3862" s="6" t="s">
        <v>9344</v>
      </c>
      <c r="E3862" s="6" t="s">
        <v>10075</v>
      </c>
      <c r="F3862" s="6" t="s">
        <v>10108</v>
      </c>
      <c r="G3862" s="6" t="s">
        <v>16</v>
      </c>
      <c r="H3862" s="5">
        <v>1</v>
      </c>
      <c r="I3862" s="6" t="s">
        <v>10108</v>
      </c>
      <c r="J3862" s="5">
        <v>460</v>
      </c>
    </row>
    <row r="3863" s="2" customFormat="1" spans="1:10">
      <c r="A3863" s="6">
        <f>3861</f>
        <v>3861</v>
      </c>
      <c r="B3863" s="6" t="s">
        <v>10109</v>
      </c>
      <c r="C3863" s="6" t="s">
        <v>12</v>
      </c>
      <c r="D3863" s="6" t="s">
        <v>9344</v>
      </c>
      <c r="E3863" s="6" t="s">
        <v>10075</v>
      </c>
      <c r="F3863" s="6" t="s">
        <v>10110</v>
      </c>
      <c r="G3863" s="6" t="s">
        <v>16</v>
      </c>
      <c r="H3863" s="5">
        <v>1</v>
      </c>
      <c r="I3863" s="6" t="s">
        <v>10110</v>
      </c>
      <c r="J3863" s="5">
        <v>570</v>
      </c>
    </row>
    <row r="3864" s="2" customFormat="1" spans="1:10">
      <c r="A3864" s="6">
        <f>3862</f>
        <v>3862</v>
      </c>
      <c r="B3864" s="6" t="s">
        <v>10111</v>
      </c>
      <c r="C3864" s="6" t="s">
        <v>12</v>
      </c>
      <c r="D3864" s="6" t="s">
        <v>9344</v>
      </c>
      <c r="E3864" s="6" t="s">
        <v>10075</v>
      </c>
      <c r="F3864" s="6" t="s">
        <v>10112</v>
      </c>
      <c r="G3864" s="6" t="s">
        <v>16</v>
      </c>
      <c r="H3864" s="5">
        <v>3</v>
      </c>
      <c r="I3864" s="6" t="s">
        <v>10113</v>
      </c>
      <c r="J3864" s="5">
        <v>1620</v>
      </c>
    </row>
    <row r="3865" s="2" customFormat="1" spans="1:10">
      <c r="A3865" s="6">
        <f>3863</f>
        <v>3863</v>
      </c>
      <c r="B3865" s="6" t="s">
        <v>10114</v>
      </c>
      <c r="C3865" s="6" t="s">
        <v>12</v>
      </c>
      <c r="D3865" s="6" t="s">
        <v>9344</v>
      </c>
      <c r="E3865" s="6" t="s">
        <v>10075</v>
      </c>
      <c r="F3865" s="6" t="s">
        <v>10115</v>
      </c>
      <c r="G3865" s="6" t="s">
        <v>16</v>
      </c>
      <c r="H3865" s="5">
        <v>1</v>
      </c>
      <c r="I3865" s="6" t="s">
        <v>10115</v>
      </c>
      <c r="J3865" s="5">
        <v>573</v>
      </c>
    </row>
    <row r="3866" s="2" customFormat="1" spans="1:10">
      <c r="A3866" s="6">
        <f>3864</f>
        <v>3864</v>
      </c>
      <c r="B3866" s="6" t="s">
        <v>10116</v>
      </c>
      <c r="C3866" s="6" t="s">
        <v>12</v>
      </c>
      <c r="D3866" s="6" t="s">
        <v>9344</v>
      </c>
      <c r="E3866" s="6" t="s">
        <v>10075</v>
      </c>
      <c r="F3866" s="6" t="s">
        <v>6292</v>
      </c>
      <c r="G3866" s="6" t="s">
        <v>16</v>
      </c>
      <c r="H3866" s="5">
        <v>1</v>
      </c>
      <c r="I3866" s="6" t="s">
        <v>6292</v>
      </c>
      <c r="J3866" s="5">
        <v>260</v>
      </c>
    </row>
    <row r="3867" s="2" customFormat="1" spans="1:10">
      <c r="A3867" s="6">
        <f>3865</f>
        <v>3865</v>
      </c>
      <c r="B3867" s="6" t="s">
        <v>10117</v>
      </c>
      <c r="C3867" s="6" t="s">
        <v>12</v>
      </c>
      <c r="D3867" s="6" t="s">
        <v>9344</v>
      </c>
      <c r="E3867" s="6" t="s">
        <v>10075</v>
      </c>
      <c r="F3867" s="6" t="s">
        <v>10118</v>
      </c>
      <c r="G3867" s="6" t="s">
        <v>16</v>
      </c>
      <c r="H3867" s="5">
        <v>1</v>
      </c>
      <c r="I3867" s="6" t="s">
        <v>10118</v>
      </c>
      <c r="J3867" s="5">
        <v>395</v>
      </c>
    </row>
    <row r="3868" s="2" customFormat="1" spans="1:10">
      <c r="A3868" s="6">
        <f>3866</f>
        <v>3866</v>
      </c>
      <c r="B3868" s="6" t="s">
        <v>10119</v>
      </c>
      <c r="C3868" s="6" t="s">
        <v>12</v>
      </c>
      <c r="D3868" s="6" t="s">
        <v>9344</v>
      </c>
      <c r="E3868" s="6" t="s">
        <v>10075</v>
      </c>
      <c r="F3868" s="6" t="s">
        <v>10120</v>
      </c>
      <c r="G3868" s="6" t="s">
        <v>16</v>
      </c>
      <c r="H3868" s="5">
        <v>1</v>
      </c>
      <c r="I3868" s="6" t="s">
        <v>10120</v>
      </c>
      <c r="J3868" s="5">
        <v>265</v>
      </c>
    </row>
    <row r="3869" s="2" customFormat="1" spans="1:10">
      <c r="A3869" s="6">
        <f>3867</f>
        <v>3867</v>
      </c>
      <c r="B3869" s="6" t="s">
        <v>10121</v>
      </c>
      <c r="C3869" s="6" t="s">
        <v>12</v>
      </c>
      <c r="D3869" s="6" t="s">
        <v>9344</v>
      </c>
      <c r="E3869" s="6" t="s">
        <v>10075</v>
      </c>
      <c r="F3869" s="6" t="s">
        <v>10122</v>
      </c>
      <c r="G3869" s="6" t="s">
        <v>16</v>
      </c>
      <c r="H3869" s="5">
        <v>1</v>
      </c>
      <c r="I3869" s="6" t="s">
        <v>10122</v>
      </c>
      <c r="J3869" s="5">
        <v>347</v>
      </c>
    </row>
    <row r="3870" s="2" customFormat="1" spans="1:10">
      <c r="A3870" s="6">
        <f>3868</f>
        <v>3868</v>
      </c>
      <c r="B3870" s="6" t="s">
        <v>10123</v>
      </c>
      <c r="C3870" s="6" t="s">
        <v>12</v>
      </c>
      <c r="D3870" s="6" t="s">
        <v>9344</v>
      </c>
      <c r="E3870" s="6" t="s">
        <v>10075</v>
      </c>
      <c r="F3870" s="6" t="s">
        <v>10124</v>
      </c>
      <c r="G3870" s="6" t="s">
        <v>16</v>
      </c>
      <c r="H3870" s="5">
        <v>1</v>
      </c>
      <c r="I3870" s="6" t="s">
        <v>10124</v>
      </c>
      <c r="J3870" s="5">
        <v>248</v>
      </c>
    </row>
    <row r="3871" s="2" customFormat="1" spans="1:10">
      <c r="A3871" s="6">
        <f>3869</f>
        <v>3869</v>
      </c>
      <c r="B3871" s="6" t="s">
        <v>10125</v>
      </c>
      <c r="C3871" s="6" t="s">
        <v>12</v>
      </c>
      <c r="D3871" s="6" t="s">
        <v>9344</v>
      </c>
      <c r="E3871" s="6" t="s">
        <v>10075</v>
      </c>
      <c r="F3871" s="6" t="s">
        <v>10126</v>
      </c>
      <c r="G3871" s="6" t="s">
        <v>16</v>
      </c>
      <c r="H3871" s="5">
        <v>1</v>
      </c>
      <c r="I3871" s="6" t="s">
        <v>10126</v>
      </c>
      <c r="J3871" s="5">
        <v>245</v>
      </c>
    </row>
    <row r="3872" s="2" customFormat="1" ht="27" spans="1:10">
      <c r="A3872" s="6">
        <f>3870</f>
        <v>3870</v>
      </c>
      <c r="B3872" s="6" t="s">
        <v>10127</v>
      </c>
      <c r="C3872" s="6" t="s">
        <v>12</v>
      </c>
      <c r="D3872" s="6" t="s">
        <v>9344</v>
      </c>
      <c r="E3872" s="6" t="s">
        <v>10075</v>
      </c>
      <c r="F3872" s="6" t="s">
        <v>10128</v>
      </c>
      <c r="G3872" s="6" t="s">
        <v>16</v>
      </c>
      <c r="H3872" s="5">
        <v>4</v>
      </c>
      <c r="I3872" s="6" t="s">
        <v>10129</v>
      </c>
      <c r="J3872" s="5">
        <v>840</v>
      </c>
    </row>
    <row r="3873" s="2" customFormat="1" spans="1:10">
      <c r="A3873" s="6">
        <f>3871</f>
        <v>3871</v>
      </c>
      <c r="B3873" s="6" t="s">
        <v>10130</v>
      </c>
      <c r="C3873" s="6" t="s">
        <v>12</v>
      </c>
      <c r="D3873" s="6" t="s">
        <v>9344</v>
      </c>
      <c r="E3873" s="6" t="s">
        <v>10075</v>
      </c>
      <c r="F3873" s="6" t="s">
        <v>10131</v>
      </c>
      <c r="G3873" s="6" t="s">
        <v>16</v>
      </c>
      <c r="H3873" s="5">
        <v>2</v>
      </c>
      <c r="I3873" s="6" t="s">
        <v>10132</v>
      </c>
      <c r="J3873" s="5">
        <v>443</v>
      </c>
    </row>
    <row r="3874" s="2" customFormat="1" spans="1:10">
      <c r="A3874" s="6">
        <f>3872</f>
        <v>3872</v>
      </c>
      <c r="B3874" s="6" t="s">
        <v>10133</v>
      </c>
      <c r="C3874" s="6" t="s">
        <v>12</v>
      </c>
      <c r="D3874" s="6" t="s">
        <v>9344</v>
      </c>
      <c r="E3874" s="6" t="s">
        <v>10075</v>
      </c>
      <c r="F3874" s="6" t="s">
        <v>10134</v>
      </c>
      <c r="G3874" s="6" t="s">
        <v>16</v>
      </c>
      <c r="H3874" s="5">
        <v>2</v>
      </c>
      <c r="I3874" s="6" t="s">
        <v>10135</v>
      </c>
      <c r="J3874" s="5">
        <v>505</v>
      </c>
    </row>
    <row r="3875" s="2" customFormat="1" spans="1:10">
      <c r="A3875" s="6">
        <f>3873</f>
        <v>3873</v>
      </c>
      <c r="B3875" s="6" t="s">
        <v>10136</v>
      </c>
      <c r="C3875" s="6" t="s">
        <v>12</v>
      </c>
      <c r="D3875" s="6" t="s">
        <v>9344</v>
      </c>
      <c r="E3875" s="6" t="s">
        <v>10075</v>
      </c>
      <c r="F3875" s="6" t="s">
        <v>10137</v>
      </c>
      <c r="G3875" s="6" t="s">
        <v>16</v>
      </c>
      <c r="H3875" s="5">
        <v>1</v>
      </c>
      <c r="I3875" s="6" t="s">
        <v>10137</v>
      </c>
      <c r="J3875" s="5">
        <v>360</v>
      </c>
    </row>
    <row r="3876" s="2" customFormat="1" spans="1:10">
      <c r="A3876" s="6">
        <f>3874</f>
        <v>3874</v>
      </c>
      <c r="B3876" s="6" t="s">
        <v>10138</v>
      </c>
      <c r="C3876" s="6" t="s">
        <v>12</v>
      </c>
      <c r="D3876" s="6" t="s">
        <v>9344</v>
      </c>
      <c r="E3876" s="6" t="s">
        <v>10075</v>
      </c>
      <c r="F3876" s="6" t="s">
        <v>10139</v>
      </c>
      <c r="G3876" s="6" t="s">
        <v>16</v>
      </c>
      <c r="H3876" s="5">
        <v>1</v>
      </c>
      <c r="I3876" s="6" t="s">
        <v>10139</v>
      </c>
      <c r="J3876" s="5">
        <v>362</v>
      </c>
    </row>
    <row r="3877" s="2" customFormat="1" spans="1:10">
      <c r="A3877" s="6">
        <f>3875</f>
        <v>3875</v>
      </c>
      <c r="B3877" s="6" t="s">
        <v>10140</v>
      </c>
      <c r="C3877" s="6" t="s">
        <v>12</v>
      </c>
      <c r="D3877" s="6" t="s">
        <v>9344</v>
      </c>
      <c r="E3877" s="6" t="s">
        <v>10075</v>
      </c>
      <c r="F3877" s="6" t="s">
        <v>10141</v>
      </c>
      <c r="G3877" s="6" t="s">
        <v>16</v>
      </c>
      <c r="H3877" s="5">
        <v>2</v>
      </c>
      <c r="I3877" s="6" t="s">
        <v>10142</v>
      </c>
      <c r="J3877" s="5">
        <v>520</v>
      </c>
    </row>
    <row r="3878" s="2" customFormat="1" spans="1:10">
      <c r="A3878" s="6">
        <f>3876</f>
        <v>3876</v>
      </c>
      <c r="B3878" s="6" t="s">
        <v>10143</v>
      </c>
      <c r="C3878" s="6" t="s">
        <v>12</v>
      </c>
      <c r="D3878" s="6" t="s">
        <v>9344</v>
      </c>
      <c r="E3878" s="6" t="s">
        <v>10075</v>
      </c>
      <c r="F3878" s="6" t="s">
        <v>10144</v>
      </c>
      <c r="G3878" s="6" t="s">
        <v>16</v>
      </c>
      <c r="H3878" s="5">
        <v>1</v>
      </c>
      <c r="I3878" s="6" t="s">
        <v>10144</v>
      </c>
      <c r="J3878" s="5">
        <v>253</v>
      </c>
    </row>
    <row r="3879" s="2" customFormat="1" spans="1:10">
      <c r="A3879" s="6">
        <f>3877</f>
        <v>3877</v>
      </c>
      <c r="B3879" s="6" t="s">
        <v>10145</v>
      </c>
      <c r="C3879" s="6" t="s">
        <v>12</v>
      </c>
      <c r="D3879" s="6" t="s">
        <v>9344</v>
      </c>
      <c r="E3879" s="6" t="s">
        <v>10075</v>
      </c>
      <c r="F3879" s="6" t="s">
        <v>10146</v>
      </c>
      <c r="G3879" s="6" t="s">
        <v>16</v>
      </c>
      <c r="H3879" s="5">
        <v>2</v>
      </c>
      <c r="I3879" s="6" t="s">
        <v>10147</v>
      </c>
      <c r="J3879" s="5">
        <v>360</v>
      </c>
    </row>
    <row r="3880" s="2" customFormat="1" ht="27" spans="1:10">
      <c r="A3880" s="6">
        <f>3878</f>
        <v>3878</v>
      </c>
      <c r="B3880" s="6" t="s">
        <v>10148</v>
      </c>
      <c r="C3880" s="6" t="s">
        <v>12</v>
      </c>
      <c r="D3880" s="6" t="s">
        <v>9344</v>
      </c>
      <c r="E3880" s="6" t="s">
        <v>10075</v>
      </c>
      <c r="F3880" s="6" t="s">
        <v>10149</v>
      </c>
      <c r="G3880" s="6" t="s">
        <v>16</v>
      </c>
      <c r="H3880" s="5">
        <v>4</v>
      </c>
      <c r="I3880" s="6" t="s">
        <v>10150</v>
      </c>
      <c r="J3880" s="5">
        <v>840</v>
      </c>
    </row>
    <row r="3881" s="2" customFormat="1" spans="1:10">
      <c r="A3881" s="6">
        <f>3879</f>
        <v>3879</v>
      </c>
      <c r="B3881" s="6" t="s">
        <v>10151</v>
      </c>
      <c r="C3881" s="6" t="s">
        <v>12</v>
      </c>
      <c r="D3881" s="6" t="s">
        <v>9344</v>
      </c>
      <c r="E3881" s="6" t="s">
        <v>10075</v>
      </c>
      <c r="F3881" s="6" t="s">
        <v>10152</v>
      </c>
      <c r="G3881" s="6" t="s">
        <v>16</v>
      </c>
      <c r="H3881" s="5">
        <v>1</v>
      </c>
      <c r="I3881" s="6" t="s">
        <v>10152</v>
      </c>
      <c r="J3881" s="5">
        <v>363</v>
      </c>
    </row>
    <row r="3882" s="2" customFormat="1" spans="1:10">
      <c r="A3882" s="6">
        <f>3880</f>
        <v>3880</v>
      </c>
      <c r="B3882" s="6" t="s">
        <v>10153</v>
      </c>
      <c r="C3882" s="6" t="s">
        <v>12</v>
      </c>
      <c r="D3882" s="6" t="s">
        <v>9344</v>
      </c>
      <c r="E3882" s="6" t="s">
        <v>10075</v>
      </c>
      <c r="F3882" s="6" t="s">
        <v>10154</v>
      </c>
      <c r="G3882" s="6" t="s">
        <v>16</v>
      </c>
      <c r="H3882" s="5">
        <v>1</v>
      </c>
      <c r="I3882" s="6" t="s">
        <v>10154</v>
      </c>
      <c r="J3882" s="5">
        <v>260</v>
      </c>
    </row>
    <row r="3883" s="2" customFormat="1" spans="1:10">
      <c r="A3883" s="6">
        <f>3881</f>
        <v>3881</v>
      </c>
      <c r="B3883" s="6" t="s">
        <v>10155</v>
      </c>
      <c r="C3883" s="6" t="s">
        <v>12</v>
      </c>
      <c r="D3883" s="6" t="s">
        <v>9344</v>
      </c>
      <c r="E3883" s="6" t="s">
        <v>10075</v>
      </c>
      <c r="F3883" s="6" t="s">
        <v>10156</v>
      </c>
      <c r="G3883" s="6" t="s">
        <v>16</v>
      </c>
      <c r="H3883" s="5">
        <v>3</v>
      </c>
      <c r="I3883" s="6" t="s">
        <v>10157</v>
      </c>
      <c r="J3883" s="5">
        <v>580</v>
      </c>
    </row>
    <row r="3884" s="2" customFormat="1" spans="1:10">
      <c r="A3884" s="6">
        <f>3882</f>
        <v>3882</v>
      </c>
      <c r="B3884" s="6" t="s">
        <v>10158</v>
      </c>
      <c r="C3884" s="6" t="s">
        <v>12</v>
      </c>
      <c r="D3884" s="6" t="s">
        <v>9344</v>
      </c>
      <c r="E3884" s="6" t="s">
        <v>10075</v>
      </c>
      <c r="F3884" s="6" t="s">
        <v>10159</v>
      </c>
      <c r="G3884" s="6" t="s">
        <v>16</v>
      </c>
      <c r="H3884" s="5">
        <v>2</v>
      </c>
      <c r="I3884" s="6" t="s">
        <v>10160</v>
      </c>
      <c r="J3884" s="5">
        <v>420</v>
      </c>
    </row>
    <row r="3885" s="2" customFormat="1" spans="1:10">
      <c r="A3885" s="6">
        <f>3883</f>
        <v>3883</v>
      </c>
      <c r="B3885" s="6" t="s">
        <v>10161</v>
      </c>
      <c r="C3885" s="6" t="s">
        <v>12</v>
      </c>
      <c r="D3885" s="6" t="s">
        <v>9344</v>
      </c>
      <c r="E3885" s="6" t="s">
        <v>10075</v>
      </c>
      <c r="F3885" s="6" t="s">
        <v>10162</v>
      </c>
      <c r="G3885" s="6" t="s">
        <v>16</v>
      </c>
      <c r="H3885" s="5">
        <v>1</v>
      </c>
      <c r="I3885" s="6" t="s">
        <v>10162</v>
      </c>
      <c r="J3885" s="5">
        <v>360</v>
      </c>
    </row>
    <row r="3886" s="2" customFormat="1" spans="1:10">
      <c r="A3886" s="6">
        <f>3884</f>
        <v>3884</v>
      </c>
      <c r="B3886" s="6" t="s">
        <v>10163</v>
      </c>
      <c r="C3886" s="6" t="s">
        <v>12</v>
      </c>
      <c r="D3886" s="6" t="s">
        <v>9344</v>
      </c>
      <c r="E3886" s="6" t="s">
        <v>10075</v>
      </c>
      <c r="F3886" s="6" t="s">
        <v>10164</v>
      </c>
      <c r="G3886" s="6" t="s">
        <v>16</v>
      </c>
      <c r="H3886" s="5">
        <v>3</v>
      </c>
      <c r="I3886" s="6" t="s">
        <v>10165</v>
      </c>
      <c r="J3886" s="5">
        <v>1080</v>
      </c>
    </row>
    <row r="3887" s="2" customFormat="1" spans="1:10">
      <c r="A3887" s="6">
        <f>3885</f>
        <v>3885</v>
      </c>
      <c r="B3887" s="6" t="s">
        <v>10166</v>
      </c>
      <c r="C3887" s="6" t="s">
        <v>12</v>
      </c>
      <c r="D3887" s="6" t="s">
        <v>9344</v>
      </c>
      <c r="E3887" s="6" t="s">
        <v>10075</v>
      </c>
      <c r="F3887" s="6" t="s">
        <v>10167</v>
      </c>
      <c r="G3887" s="6" t="s">
        <v>16</v>
      </c>
      <c r="H3887" s="5">
        <v>1</v>
      </c>
      <c r="I3887" s="6" t="s">
        <v>10167</v>
      </c>
      <c r="J3887" s="5">
        <v>265</v>
      </c>
    </row>
    <row r="3888" s="2" customFormat="1" spans="1:10">
      <c r="A3888" s="6">
        <f>3886</f>
        <v>3886</v>
      </c>
      <c r="B3888" s="6" t="s">
        <v>10168</v>
      </c>
      <c r="C3888" s="6" t="s">
        <v>12</v>
      </c>
      <c r="D3888" s="6" t="s">
        <v>9344</v>
      </c>
      <c r="E3888" s="6" t="s">
        <v>10075</v>
      </c>
      <c r="F3888" s="6" t="s">
        <v>10169</v>
      </c>
      <c r="G3888" s="6" t="s">
        <v>16</v>
      </c>
      <c r="H3888" s="5">
        <v>1</v>
      </c>
      <c r="I3888" s="6" t="s">
        <v>10169</v>
      </c>
      <c r="J3888" s="5">
        <v>268</v>
      </c>
    </row>
    <row r="3889" s="2" customFormat="1" spans="1:10">
      <c r="A3889" s="6">
        <f>3887</f>
        <v>3887</v>
      </c>
      <c r="B3889" s="6" t="s">
        <v>10170</v>
      </c>
      <c r="C3889" s="6" t="s">
        <v>12</v>
      </c>
      <c r="D3889" s="6" t="s">
        <v>9344</v>
      </c>
      <c r="E3889" s="6" t="s">
        <v>10075</v>
      </c>
      <c r="F3889" s="6" t="s">
        <v>10171</v>
      </c>
      <c r="G3889" s="6" t="s">
        <v>16</v>
      </c>
      <c r="H3889" s="5">
        <v>2</v>
      </c>
      <c r="I3889" s="6" t="s">
        <v>10172</v>
      </c>
      <c r="J3889" s="5">
        <v>610</v>
      </c>
    </row>
    <row r="3890" s="2" customFormat="1" spans="1:10">
      <c r="A3890" s="6">
        <f>3888</f>
        <v>3888</v>
      </c>
      <c r="B3890" s="6" t="s">
        <v>10173</v>
      </c>
      <c r="C3890" s="6" t="s">
        <v>12</v>
      </c>
      <c r="D3890" s="6" t="s">
        <v>9344</v>
      </c>
      <c r="E3890" s="6" t="s">
        <v>10075</v>
      </c>
      <c r="F3890" s="6" t="s">
        <v>10174</v>
      </c>
      <c r="G3890" s="6" t="s">
        <v>16</v>
      </c>
      <c r="H3890" s="5">
        <v>2</v>
      </c>
      <c r="I3890" s="6" t="s">
        <v>10175</v>
      </c>
      <c r="J3890" s="5">
        <v>720</v>
      </c>
    </row>
    <row r="3891" s="2" customFormat="1" spans="1:10">
      <c r="A3891" s="6">
        <f>3889</f>
        <v>3889</v>
      </c>
      <c r="B3891" s="6" t="s">
        <v>10176</v>
      </c>
      <c r="C3891" s="6" t="s">
        <v>12</v>
      </c>
      <c r="D3891" s="6" t="s">
        <v>9344</v>
      </c>
      <c r="E3891" s="6" t="s">
        <v>10075</v>
      </c>
      <c r="F3891" s="6" t="s">
        <v>10177</v>
      </c>
      <c r="G3891" s="6" t="s">
        <v>16</v>
      </c>
      <c r="H3891" s="5">
        <v>1</v>
      </c>
      <c r="I3891" s="6" t="s">
        <v>10177</v>
      </c>
      <c r="J3891" s="5">
        <v>238</v>
      </c>
    </row>
    <row r="3892" s="2" customFormat="1" spans="1:10">
      <c r="A3892" s="6">
        <f>3890</f>
        <v>3890</v>
      </c>
      <c r="B3892" s="6" t="s">
        <v>10178</v>
      </c>
      <c r="C3892" s="6" t="s">
        <v>12</v>
      </c>
      <c r="D3892" s="6" t="s">
        <v>9344</v>
      </c>
      <c r="E3892" s="6" t="s">
        <v>10075</v>
      </c>
      <c r="F3892" s="6" t="s">
        <v>10179</v>
      </c>
      <c r="G3892" s="6" t="s">
        <v>16</v>
      </c>
      <c r="H3892" s="5">
        <v>1</v>
      </c>
      <c r="I3892" s="6" t="s">
        <v>10179</v>
      </c>
      <c r="J3892" s="5">
        <v>248</v>
      </c>
    </row>
    <row r="3893" s="2" customFormat="1" spans="1:10">
      <c r="A3893" s="6">
        <f>3891</f>
        <v>3891</v>
      </c>
      <c r="B3893" s="6" t="s">
        <v>10180</v>
      </c>
      <c r="C3893" s="6" t="s">
        <v>12</v>
      </c>
      <c r="D3893" s="6" t="s">
        <v>9344</v>
      </c>
      <c r="E3893" s="6" t="s">
        <v>10075</v>
      </c>
      <c r="F3893" s="6" t="s">
        <v>10181</v>
      </c>
      <c r="G3893" s="6" t="s">
        <v>16</v>
      </c>
      <c r="H3893" s="5">
        <v>3</v>
      </c>
      <c r="I3893" s="6" t="s">
        <v>10182</v>
      </c>
      <c r="J3893" s="5">
        <v>1710</v>
      </c>
    </row>
    <row r="3894" s="2" customFormat="1" spans="1:10">
      <c r="A3894" s="6">
        <f>3892</f>
        <v>3892</v>
      </c>
      <c r="B3894" s="6" t="s">
        <v>10183</v>
      </c>
      <c r="C3894" s="6" t="s">
        <v>12</v>
      </c>
      <c r="D3894" s="6" t="s">
        <v>9344</v>
      </c>
      <c r="E3894" s="6" t="s">
        <v>10075</v>
      </c>
      <c r="F3894" s="6" t="s">
        <v>10184</v>
      </c>
      <c r="G3894" s="6" t="s">
        <v>16</v>
      </c>
      <c r="H3894" s="5">
        <v>1</v>
      </c>
      <c r="I3894" s="6" t="s">
        <v>10184</v>
      </c>
      <c r="J3894" s="5">
        <v>362</v>
      </c>
    </row>
    <row r="3895" s="2" customFormat="1" spans="1:10">
      <c r="A3895" s="6">
        <f>3893</f>
        <v>3893</v>
      </c>
      <c r="B3895" s="6" t="s">
        <v>10185</v>
      </c>
      <c r="C3895" s="6" t="s">
        <v>12</v>
      </c>
      <c r="D3895" s="6" t="s">
        <v>9344</v>
      </c>
      <c r="E3895" s="6" t="s">
        <v>10075</v>
      </c>
      <c r="F3895" s="6" t="s">
        <v>10186</v>
      </c>
      <c r="G3895" s="6" t="s">
        <v>16</v>
      </c>
      <c r="H3895" s="5">
        <v>1</v>
      </c>
      <c r="I3895" s="6" t="s">
        <v>10186</v>
      </c>
      <c r="J3895" s="5">
        <v>265</v>
      </c>
    </row>
    <row r="3896" s="2" customFormat="1" spans="1:10">
      <c r="A3896" s="6">
        <f>3894</f>
        <v>3894</v>
      </c>
      <c r="B3896" s="6" t="s">
        <v>10187</v>
      </c>
      <c r="C3896" s="6" t="s">
        <v>12</v>
      </c>
      <c r="D3896" s="6" t="s">
        <v>9344</v>
      </c>
      <c r="E3896" s="6" t="s">
        <v>10075</v>
      </c>
      <c r="F3896" s="6" t="s">
        <v>10188</v>
      </c>
      <c r="G3896" s="6" t="s">
        <v>16</v>
      </c>
      <c r="H3896" s="5">
        <v>1</v>
      </c>
      <c r="I3896" s="6" t="s">
        <v>10188</v>
      </c>
      <c r="J3896" s="5">
        <v>540</v>
      </c>
    </row>
    <row r="3897" s="2" customFormat="1" spans="1:10">
      <c r="A3897" s="6">
        <f>3895</f>
        <v>3895</v>
      </c>
      <c r="B3897" s="6" t="s">
        <v>10189</v>
      </c>
      <c r="C3897" s="6" t="s">
        <v>12</v>
      </c>
      <c r="D3897" s="6" t="s">
        <v>9344</v>
      </c>
      <c r="E3897" s="6" t="s">
        <v>10075</v>
      </c>
      <c r="F3897" s="6" t="s">
        <v>10190</v>
      </c>
      <c r="G3897" s="6" t="s">
        <v>16</v>
      </c>
      <c r="H3897" s="5">
        <v>3</v>
      </c>
      <c r="I3897" s="6" t="s">
        <v>10191</v>
      </c>
      <c r="J3897" s="5">
        <v>680</v>
      </c>
    </row>
    <row r="3898" s="2" customFormat="1" spans="1:10">
      <c r="A3898" s="6">
        <f>3896</f>
        <v>3896</v>
      </c>
      <c r="B3898" s="6" t="s">
        <v>10192</v>
      </c>
      <c r="C3898" s="6" t="s">
        <v>12</v>
      </c>
      <c r="D3898" s="6" t="s">
        <v>9344</v>
      </c>
      <c r="E3898" s="6" t="s">
        <v>10075</v>
      </c>
      <c r="F3898" s="6" t="s">
        <v>10193</v>
      </c>
      <c r="G3898" s="6" t="s">
        <v>16</v>
      </c>
      <c r="H3898" s="5">
        <v>2</v>
      </c>
      <c r="I3898" s="6" t="s">
        <v>10194</v>
      </c>
      <c r="J3898" s="5">
        <v>780</v>
      </c>
    </row>
    <row r="3899" s="2" customFormat="1" spans="1:10">
      <c r="A3899" s="6">
        <f>3897</f>
        <v>3897</v>
      </c>
      <c r="B3899" s="6" t="s">
        <v>10195</v>
      </c>
      <c r="C3899" s="6" t="s">
        <v>12</v>
      </c>
      <c r="D3899" s="6" t="s">
        <v>9344</v>
      </c>
      <c r="E3899" s="6" t="s">
        <v>10075</v>
      </c>
      <c r="F3899" s="6" t="s">
        <v>10196</v>
      </c>
      <c r="G3899" s="6" t="s">
        <v>16</v>
      </c>
      <c r="H3899" s="5">
        <v>1</v>
      </c>
      <c r="I3899" s="6" t="s">
        <v>10196</v>
      </c>
      <c r="J3899" s="5">
        <v>295</v>
      </c>
    </row>
    <row r="3900" s="2" customFormat="1" spans="1:10">
      <c r="A3900" s="6">
        <f>3898</f>
        <v>3898</v>
      </c>
      <c r="B3900" s="6" t="s">
        <v>10197</v>
      </c>
      <c r="C3900" s="6" t="s">
        <v>12</v>
      </c>
      <c r="D3900" s="6" t="s">
        <v>9344</v>
      </c>
      <c r="E3900" s="6" t="s">
        <v>10075</v>
      </c>
      <c r="F3900" s="6" t="s">
        <v>10198</v>
      </c>
      <c r="G3900" s="6" t="s">
        <v>16</v>
      </c>
      <c r="H3900" s="5">
        <v>2</v>
      </c>
      <c r="I3900" s="6" t="s">
        <v>10199</v>
      </c>
      <c r="J3900" s="5">
        <v>476</v>
      </c>
    </row>
    <row r="3901" s="2" customFormat="1" spans="1:10">
      <c r="A3901" s="6">
        <f>3899</f>
        <v>3899</v>
      </c>
      <c r="B3901" s="6" t="s">
        <v>10200</v>
      </c>
      <c r="C3901" s="6" t="s">
        <v>12</v>
      </c>
      <c r="D3901" s="6" t="s">
        <v>9344</v>
      </c>
      <c r="E3901" s="6" t="s">
        <v>10075</v>
      </c>
      <c r="F3901" s="6" t="s">
        <v>10201</v>
      </c>
      <c r="G3901" s="6" t="s">
        <v>16</v>
      </c>
      <c r="H3901" s="5">
        <v>2</v>
      </c>
      <c r="I3901" s="6" t="s">
        <v>10202</v>
      </c>
      <c r="J3901" s="5">
        <v>1240</v>
      </c>
    </row>
    <row r="3902" s="2" customFormat="1" spans="1:10">
      <c r="A3902" s="6">
        <f>3900</f>
        <v>3900</v>
      </c>
      <c r="B3902" s="6" t="s">
        <v>10203</v>
      </c>
      <c r="C3902" s="6" t="s">
        <v>12</v>
      </c>
      <c r="D3902" s="6" t="s">
        <v>9344</v>
      </c>
      <c r="E3902" s="6" t="s">
        <v>10075</v>
      </c>
      <c r="F3902" s="6" t="s">
        <v>10204</v>
      </c>
      <c r="G3902" s="6" t="s">
        <v>16</v>
      </c>
      <c r="H3902" s="5">
        <v>2</v>
      </c>
      <c r="I3902" s="6" t="s">
        <v>10205</v>
      </c>
      <c r="J3902" s="5">
        <v>320</v>
      </c>
    </row>
    <row r="3903" s="2" customFormat="1" spans="1:10">
      <c r="A3903" s="6">
        <f>3901</f>
        <v>3901</v>
      </c>
      <c r="B3903" s="6" t="s">
        <v>10206</v>
      </c>
      <c r="C3903" s="6" t="s">
        <v>12</v>
      </c>
      <c r="D3903" s="6" t="s">
        <v>9344</v>
      </c>
      <c r="E3903" s="6" t="s">
        <v>10075</v>
      </c>
      <c r="F3903" s="6" t="s">
        <v>10207</v>
      </c>
      <c r="G3903" s="6" t="s">
        <v>16</v>
      </c>
      <c r="H3903" s="5">
        <v>3</v>
      </c>
      <c r="I3903" s="6" t="s">
        <v>10208</v>
      </c>
      <c r="J3903" s="5">
        <v>1080</v>
      </c>
    </row>
    <row r="3904" s="2" customFormat="1" spans="1:10">
      <c r="A3904" s="6">
        <f>3902</f>
        <v>3902</v>
      </c>
      <c r="B3904" s="6" t="s">
        <v>10209</v>
      </c>
      <c r="C3904" s="6" t="s">
        <v>12</v>
      </c>
      <c r="D3904" s="6" t="s">
        <v>9344</v>
      </c>
      <c r="E3904" s="6" t="s">
        <v>10210</v>
      </c>
      <c r="F3904" s="6" t="s">
        <v>10211</v>
      </c>
      <c r="G3904" s="6" t="s">
        <v>16</v>
      </c>
      <c r="H3904" s="5">
        <v>3</v>
      </c>
      <c r="I3904" s="6" t="s">
        <v>10212</v>
      </c>
      <c r="J3904" s="5">
        <v>1620</v>
      </c>
    </row>
    <row r="3905" s="2" customFormat="1" spans="1:10">
      <c r="A3905" s="6">
        <f>3903</f>
        <v>3903</v>
      </c>
      <c r="B3905" s="6" t="s">
        <v>10213</v>
      </c>
      <c r="C3905" s="6" t="s">
        <v>12</v>
      </c>
      <c r="D3905" s="6" t="s">
        <v>9344</v>
      </c>
      <c r="E3905" s="6" t="s">
        <v>10210</v>
      </c>
      <c r="F3905" s="6" t="s">
        <v>10214</v>
      </c>
      <c r="G3905" s="6" t="s">
        <v>16</v>
      </c>
      <c r="H3905" s="5">
        <v>2</v>
      </c>
      <c r="I3905" s="6" t="s">
        <v>10215</v>
      </c>
      <c r="J3905" s="5">
        <v>1080</v>
      </c>
    </row>
    <row r="3906" s="2" customFormat="1" spans="1:10">
      <c r="A3906" s="6">
        <f>3904</f>
        <v>3904</v>
      </c>
      <c r="B3906" s="6" t="s">
        <v>10216</v>
      </c>
      <c r="C3906" s="6" t="s">
        <v>12</v>
      </c>
      <c r="D3906" s="6" t="s">
        <v>9344</v>
      </c>
      <c r="E3906" s="6" t="s">
        <v>10210</v>
      </c>
      <c r="F3906" s="6" t="s">
        <v>10217</v>
      </c>
      <c r="G3906" s="6" t="s">
        <v>16</v>
      </c>
      <c r="H3906" s="5">
        <v>3</v>
      </c>
      <c r="I3906" s="6" t="s">
        <v>10218</v>
      </c>
      <c r="J3906" s="5">
        <v>1180</v>
      </c>
    </row>
    <row r="3907" s="2" customFormat="1" spans="1:10">
      <c r="A3907" s="6">
        <f>3905</f>
        <v>3905</v>
      </c>
      <c r="B3907" s="6" t="s">
        <v>10219</v>
      </c>
      <c r="C3907" s="6" t="s">
        <v>12</v>
      </c>
      <c r="D3907" s="6" t="s">
        <v>9344</v>
      </c>
      <c r="E3907" s="6" t="s">
        <v>10210</v>
      </c>
      <c r="F3907" s="6" t="s">
        <v>10220</v>
      </c>
      <c r="G3907" s="6" t="s">
        <v>16</v>
      </c>
      <c r="H3907" s="5">
        <v>2</v>
      </c>
      <c r="I3907" s="6" t="s">
        <v>10221</v>
      </c>
      <c r="J3907" s="5">
        <v>604</v>
      </c>
    </row>
    <row r="3908" s="2" customFormat="1" spans="1:10">
      <c r="A3908" s="6">
        <f>3906</f>
        <v>3906</v>
      </c>
      <c r="B3908" s="6" t="s">
        <v>10222</v>
      </c>
      <c r="C3908" s="6" t="s">
        <v>12</v>
      </c>
      <c r="D3908" s="6" t="s">
        <v>9344</v>
      </c>
      <c r="E3908" s="6" t="s">
        <v>10210</v>
      </c>
      <c r="F3908" s="6" t="s">
        <v>10223</v>
      </c>
      <c r="G3908" s="6" t="s">
        <v>16</v>
      </c>
      <c r="H3908" s="5">
        <v>2</v>
      </c>
      <c r="I3908" s="6" t="s">
        <v>10224</v>
      </c>
      <c r="J3908" s="5">
        <v>586</v>
      </c>
    </row>
    <row r="3909" s="2" customFormat="1" ht="27" spans="1:10">
      <c r="A3909" s="6">
        <f>3907</f>
        <v>3907</v>
      </c>
      <c r="B3909" s="6" t="s">
        <v>10225</v>
      </c>
      <c r="C3909" s="6" t="s">
        <v>12</v>
      </c>
      <c r="D3909" s="6" t="s">
        <v>9344</v>
      </c>
      <c r="E3909" s="6" t="s">
        <v>10210</v>
      </c>
      <c r="F3909" s="6" t="s">
        <v>10226</v>
      </c>
      <c r="G3909" s="6" t="s">
        <v>16</v>
      </c>
      <c r="H3909" s="5">
        <v>5</v>
      </c>
      <c r="I3909" s="6" t="s">
        <v>10227</v>
      </c>
      <c r="J3909" s="5">
        <v>1350</v>
      </c>
    </row>
    <row r="3910" s="2" customFormat="1" spans="1:10">
      <c r="A3910" s="6">
        <f>3908</f>
        <v>3908</v>
      </c>
      <c r="B3910" s="6" t="s">
        <v>10228</v>
      </c>
      <c r="C3910" s="6" t="s">
        <v>12</v>
      </c>
      <c r="D3910" s="6" t="s">
        <v>9344</v>
      </c>
      <c r="E3910" s="6" t="s">
        <v>10210</v>
      </c>
      <c r="F3910" s="6" t="s">
        <v>10229</v>
      </c>
      <c r="G3910" s="6" t="s">
        <v>16</v>
      </c>
      <c r="H3910" s="5">
        <v>2</v>
      </c>
      <c r="I3910" s="6" t="s">
        <v>10230</v>
      </c>
      <c r="J3910" s="5">
        <v>980</v>
      </c>
    </row>
    <row r="3911" s="2" customFormat="1" spans="1:10">
      <c r="A3911" s="6">
        <f>3909</f>
        <v>3909</v>
      </c>
      <c r="B3911" s="6" t="s">
        <v>10231</v>
      </c>
      <c r="C3911" s="6" t="s">
        <v>12</v>
      </c>
      <c r="D3911" s="6" t="s">
        <v>9344</v>
      </c>
      <c r="E3911" s="6" t="s">
        <v>10210</v>
      </c>
      <c r="F3911" s="6" t="s">
        <v>10232</v>
      </c>
      <c r="G3911" s="6" t="s">
        <v>16</v>
      </c>
      <c r="H3911" s="5">
        <v>1</v>
      </c>
      <c r="I3911" s="6" t="s">
        <v>10232</v>
      </c>
      <c r="J3911" s="5">
        <v>245</v>
      </c>
    </row>
    <row r="3912" s="2" customFormat="1" spans="1:10">
      <c r="A3912" s="6">
        <f>3910</f>
        <v>3910</v>
      </c>
      <c r="B3912" s="6" t="s">
        <v>10233</v>
      </c>
      <c r="C3912" s="6" t="s">
        <v>12</v>
      </c>
      <c r="D3912" s="6" t="s">
        <v>9344</v>
      </c>
      <c r="E3912" s="6" t="s">
        <v>10210</v>
      </c>
      <c r="F3912" s="6" t="s">
        <v>10234</v>
      </c>
      <c r="G3912" s="6" t="s">
        <v>16</v>
      </c>
      <c r="H3912" s="5">
        <v>1</v>
      </c>
      <c r="I3912" s="6" t="s">
        <v>10234</v>
      </c>
      <c r="J3912" s="5">
        <v>440</v>
      </c>
    </row>
    <row r="3913" s="2" customFormat="1" spans="1:10">
      <c r="A3913" s="6">
        <f>3911</f>
        <v>3911</v>
      </c>
      <c r="B3913" s="6" t="s">
        <v>10235</v>
      </c>
      <c r="C3913" s="6" t="s">
        <v>12</v>
      </c>
      <c r="D3913" s="6" t="s">
        <v>9344</v>
      </c>
      <c r="E3913" s="6" t="s">
        <v>10210</v>
      </c>
      <c r="F3913" s="6" t="s">
        <v>10236</v>
      </c>
      <c r="G3913" s="6" t="s">
        <v>16</v>
      </c>
      <c r="H3913" s="5">
        <v>1</v>
      </c>
      <c r="I3913" s="6" t="s">
        <v>10236</v>
      </c>
      <c r="J3913" s="5">
        <v>400</v>
      </c>
    </row>
    <row r="3914" s="2" customFormat="1" spans="1:10">
      <c r="A3914" s="6">
        <f>3912</f>
        <v>3912</v>
      </c>
      <c r="B3914" s="6" t="s">
        <v>10237</v>
      </c>
      <c r="C3914" s="6" t="s">
        <v>12</v>
      </c>
      <c r="D3914" s="6" t="s">
        <v>9344</v>
      </c>
      <c r="E3914" s="6" t="s">
        <v>10210</v>
      </c>
      <c r="F3914" s="6" t="s">
        <v>10238</v>
      </c>
      <c r="G3914" s="6" t="s">
        <v>16</v>
      </c>
      <c r="H3914" s="5">
        <v>1</v>
      </c>
      <c r="I3914" s="6" t="s">
        <v>10238</v>
      </c>
      <c r="J3914" s="5">
        <v>248</v>
      </c>
    </row>
    <row r="3915" s="2" customFormat="1" ht="27" spans="1:10">
      <c r="A3915" s="6">
        <f>3913</f>
        <v>3913</v>
      </c>
      <c r="B3915" s="6" t="s">
        <v>10239</v>
      </c>
      <c r="C3915" s="6" t="s">
        <v>12</v>
      </c>
      <c r="D3915" s="6" t="s">
        <v>9344</v>
      </c>
      <c r="E3915" s="6" t="s">
        <v>10210</v>
      </c>
      <c r="F3915" s="6" t="s">
        <v>10240</v>
      </c>
      <c r="G3915" s="6" t="s">
        <v>16</v>
      </c>
      <c r="H3915" s="5">
        <v>5</v>
      </c>
      <c r="I3915" s="6" t="s">
        <v>10241</v>
      </c>
      <c r="J3915" s="5">
        <v>1100</v>
      </c>
    </row>
    <row r="3916" s="2" customFormat="1" spans="1:10">
      <c r="A3916" s="6">
        <f>3914</f>
        <v>3914</v>
      </c>
      <c r="B3916" s="6" t="s">
        <v>10242</v>
      </c>
      <c r="C3916" s="6" t="s">
        <v>12</v>
      </c>
      <c r="D3916" s="6" t="s">
        <v>9344</v>
      </c>
      <c r="E3916" s="6" t="s">
        <v>10210</v>
      </c>
      <c r="F3916" s="6" t="s">
        <v>9925</v>
      </c>
      <c r="G3916" s="6" t="s">
        <v>16</v>
      </c>
      <c r="H3916" s="5">
        <v>1</v>
      </c>
      <c r="I3916" s="6" t="s">
        <v>9925</v>
      </c>
      <c r="J3916" s="5">
        <v>248</v>
      </c>
    </row>
    <row r="3917" s="2" customFormat="1" ht="27" spans="1:10">
      <c r="A3917" s="6">
        <f>3915</f>
        <v>3915</v>
      </c>
      <c r="B3917" s="6" t="s">
        <v>10243</v>
      </c>
      <c r="C3917" s="6" t="s">
        <v>12</v>
      </c>
      <c r="D3917" s="6" t="s">
        <v>9344</v>
      </c>
      <c r="E3917" s="6" t="s">
        <v>10210</v>
      </c>
      <c r="F3917" s="6" t="s">
        <v>10244</v>
      </c>
      <c r="G3917" s="6" t="s">
        <v>16</v>
      </c>
      <c r="H3917" s="5">
        <v>5</v>
      </c>
      <c r="I3917" s="6" t="s">
        <v>10245</v>
      </c>
      <c r="J3917" s="5">
        <v>1000</v>
      </c>
    </row>
    <row r="3918" s="2" customFormat="1" spans="1:10">
      <c r="A3918" s="6">
        <f>3916</f>
        <v>3916</v>
      </c>
      <c r="B3918" s="6" t="s">
        <v>10246</v>
      </c>
      <c r="C3918" s="6" t="s">
        <v>12</v>
      </c>
      <c r="D3918" s="6" t="s">
        <v>9344</v>
      </c>
      <c r="E3918" s="6" t="s">
        <v>10210</v>
      </c>
      <c r="F3918" s="6" t="s">
        <v>10247</v>
      </c>
      <c r="G3918" s="6" t="s">
        <v>16</v>
      </c>
      <c r="H3918" s="5">
        <v>1</v>
      </c>
      <c r="I3918" s="6" t="s">
        <v>10247</v>
      </c>
      <c r="J3918" s="5">
        <v>460</v>
      </c>
    </row>
    <row r="3919" s="2" customFormat="1" spans="1:10">
      <c r="A3919" s="6">
        <f>3917</f>
        <v>3917</v>
      </c>
      <c r="B3919" s="6" t="s">
        <v>10248</v>
      </c>
      <c r="C3919" s="6" t="s">
        <v>12</v>
      </c>
      <c r="D3919" s="6" t="s">
        <v>9344</v>
      </c>
      <c r="E3919" s="6" t="s">
        <v>10210</v>
      </c>
      <c r="F3919" s="6" t="s">
        <v>10249</v>
      </c>
      <c r="G3919" s="6" t="s">
        <v>16</v>
      </c>
      <c r="H3919" s="5">
        <v>2</v>
      </c>
      <c r="I3919" s="6" t="s">
        <v>10250</v>
      </c>
      <c r="J3919" s="5">
        <v>1060</v>
      </c>
    </row>
    <row r="3920" s="2" customFormat="1" ht="27" spans="1:10">
      <c r="A3920" s="6">
        <f>3918</f>
        <v>3918</v>
      </c>
      <c r="B3920" s="6" t="s">
        <v>10251</v>
      </c>
      <c r="C3920" s="6" t="s">
        <v>12</v>
      </c>
      <c r="D3920" s="6" t="s">
        <v>9344</v>
      </c>
      <c r="E3920" s="6" t="s">
        <v>10210</v>
      </c>
      <c r="F3920" s="6" t="s">
        <v>10252</v>
      </c>
      <c r="G3920" s="6" t="s">
        <v>16</v>
      </c>
      <c r="H3920" s="5">
        <v>5</v>
      </c>
      <c r="I3920" s="6" t="s">
        <v>10253</v>
      </c>
      <c r="J3920" s="5">
        <v>1076</v>
      </c>
    </row>
    <row r="3921" s="2" customFormat="1" spans="1:10">
      <c r="A3921" s="6">
        <f>3919</f>
        <v>3919</v>
      </c>
      <c r="B3921" s="6" t="s">
        <v>10254</v>
      </c>
      <c r="C3921" s="6" t="s">
        <v>12</v>
      </c>
      <c r="D3921" s="6" t="s">
        <v>9344</v>
      </c>
      <c r="E3921" s="6" t="s">
        <v>10210</v>
      </c>
      <c r="F3921" s="6" t="s">
        <v>10255</v>
      </c>
      <c r="G3921" s="6" t="s">
        <v>16</v>
      </c>
      <c r="H3921" s="5">
        <v>1</v>
      </c>
      <c r="I3921" s="6" t="s">
        <v>10255</v>
      </c>
      <c r="J3921" s="5">
        <v>245</v>
      </c>
    </row>
    <row r="3922" s="2" customFormat="1" spans="1:10">
      <c r="A3922" s="6">
        <f>3920</f>
        <v>3920</v>
      </c>
      <c r="B3922" s="6" t="s">
        <v>10256</v>
      </c>
      <c r="C3922" s="6" t="s">
        <v>12</v>
      </c>
      <c r="D3922" s="6" t="s">
        <v>9344</v>
      </c>
      <c r="E3922" s="6" t="s">
        <v>10210</v>
      </c>
      <c r="F3922" s="6" t="s">
        <v>10257</v>
      </c>
      <c r="G3922" s="6" t="s">
        <v>16</v>
      </c>
      <c r="H3922" s="5">
        <v>1</v>
      </c>
      <c r="I3922" s="6" t="s">
        <v>10257</v>
      </c>
      <c r="J3922" s="5">
        <v>348</v>
      </c>
    </row>
    <row r="3923" s="2" customFormat="1" spans="1:10">
      <c r="A3923" s="6">
        <f>3921</f>
        <v>3921</v>
      </c>
      <c r="B3923" s="6" t="s">
        <v>10258</v>
      </c>
      <c r="C3923" s="6" t="s">
        <v>12</v>
      </c>
      <c r="D3923" s="6" t="s">
        <v>9344</v>
      </c>
      <c r="E3923" s="6" t="s">
        <v>10210</v>
      </c>
      <c r="F3923" s="6" t="s">
        <v>10259</v>
      </c>
      <c r="G3923" s="6" t="s">
        <v>16</v>
      </c>
      <c r="H3923" s="5">
        <v>1</v>
      </c>
      <c r="I3923" s="6" t="s">
        <v>10259</v>
      </c>
      <c r="J3923" s="5">
        <v>248</v>
      </c>
    </row>
    <row r="3924" s="2" customFormat="1" spans="1:10">
      <c r="A3924" s="6">
        <f>3922</f>
        <v>3922</v>
      </c>
      <c r="B3924" s="6" t="s">
        <v>10260</v>
      </c>
      <c r="C3924" s="6" t="s">
        <v>12</v>
      </c>
      <c r="D3924" s="6" t="s">
        <v>9344</v>
      </c>
      <c r="E3924" s="6" t="s">
        <v>10210</v>
      </c>
      <c r="F3924" s="6" t="s">
        <v>10261</v>
      </c>
      <c r="G3924" s="6" t="s">
        <v>16</v>
      </c>
      <c r="H3924" s="5">
        <v>2</v>
      </c>
      <c r="I3924" s="6" t="s">
        <v>10262</v>
      </c>
      <c r="J3924" s="5">
        <v>650</v>
      </c>
    </row>
    <row r="3925" s="2" customFormat="1" spans="1:10">
      <c r="A3925" s="6">
        <f>3923</f>
        <v>3923</v>
      </c>
      <c r="B3925" s="6" t="s">
        <v>10263</v>
      </c>
      <c r="C3925" s="6" t="s">
        <v>12</v>
      </c>
      <c r="D3925" s="6" t="s">
        <v>9344</v>
      </c>
      <c r="E3925" s="6" t="s">
        <v>10210</v>
      </c>
      <c r="F3925" s="6" t="s">
        <v>10264</v>
      </c>
      <c r="G3925" s="6" t="s">
        <v>16</v>
      </c>
      <c r="H3925" s="5">
        <v>1</v>
      </c>
      <c r="I3925" s="6" t="s">
        <v>10264</v>
      </c>
      <c r="J3925" s="5">
        <v>248</v>
      </c>
    </row>
    <row r="3926" s="2" customFormat="1" spans="1:10">
      <c r="A3926" s="6">
        <f>3924</f>
        <v>3924</v>
      </c>
      <c r="B3926" s="6" t="s">
        <v>10265</v>
      </c>
      <c r="C3926" s="6" t="s">
        <v>12</v>
      </c>
      <c r="D3926" s="6" t="s">
        <v>9344</v>
      </c>
      <c r="E3926" s="6" t="s">
        <v>10210</v>
      </c>
      <c r="F3926" s="6" t="s">
        <v>10266</v>
      </c>
      <c r="G3926" s="6" t="s">
        <v>16</v>
      </c>
      <c r="H3926" s="5">
        <v>2</v>
      </c>
      <c r="I3926" s="6" t="s">
        <v>10267</v>
      </c>
      <c r="J3926" s="5">
        <v>610</v>
      </c>
    </row>
    <row r="3927" s="2" customFormat="1" spans="1:10">
      <c r="A3927" s="6">
        <f>3925</f>
        <v>3925</v>
      </c>
      <c r="B3927" s="6" t="s">
        <v>10268</v>
      </c>
      <c r="C3927" s="6" t="s">
        <v>12</v>
      </c>
      <c r="D3927" s="6" t="s">
        <v>9344</v>
      </c>
      <c r="E3927" s="6" t="s">
        <v>10210</v>
      </c>
      <c r="F3927" s="6" t="s">
        <v>10269</v>
      </c>
      <c r="G3927" s="6" t="s">
        <v>16</v>
      </c>
      <c r="H3927" s="5">
        <v>1</v>
      </c>
      <c r="I3927" s="6" t="s">
        <v>10269</v>
      </c>
      <c r="J3927" s="5">
        <v>248</v>
      </c>
    </row>
    <row r="3928" s="2" customFormat="1" ht="27" spans="1:10">
      <c r="A3928" s="6">
        <f>3926</f>
        <v>3926</v>
      </c>
      <c r="B3928" s="6" t="s">
        <v>10270</v>
      </c>
      <c r="C3928" s="6" t="s">
        <v>12</v>
      </c>
      <c r="D3928" s="6" t="s">
        <v>9344</v>
      </c>
      <c r="E3928" s="6" t="s">
        <v>10210</v>
      </c>
      <c r="F3928" s="6" t="s">
        <v>10271</v>
      </c>
      <c r="G3928" s="6" t="s">
        <v>16</v>
      </c>
      <c r="H3928" s="5">
        <v>4</v>
      </c>
      <c r="I3928" s="6" t="s">
        <v>10272</v>
      </c>
      <c r="J3928" s="5">
        <v>1660</v>
      </c>
    </row>
    <row r="3929" s="2" customFormat="1" spans="1:10">
      <c r="A3929" s="6">
        <f>3927</f>
        <v>3927</v>
      </c>
      <c r="B3929" s="6" t="s">
        <v>10273</v>
      </c>
      <c r="C3929" s="6" t="s">
        <v>12</v>
      </c>
      <c r="D3929" s="6" t="s">
        <v>9344</v>
      </c>
      <c r="E3929" s="6" t="s">
        <v>10210</v>
      </c>
      <c r="F3929" s="6" t="s">
        <v>10274</v>
      </c>
      <c r="G3929" s="6" t="s">
        <v>16</v>
      </c>
      <c r="H3929" s="5">
        <v>1</v>
      </c>
      <c r="I3929" s="6" t="s">
        <v>10274</v>
      </c>
      <c r="J3929" s="5">
        <v>372</v>
      </c>
    </row>
    <row r="3930" s="2" customFormat="1" spans="1:10">
      <c r="A3930" s="6">
        <f>3928</f>
        <v>3928</v>
      </c>
      <c r="B3930" s="6" t="s">
        <v>10275</v>
      </c>
      <c r="C3930" s="6" t="s">
        <v>12</v>
      </c>
      <c r="D3930" s="6" t="s">
        <v>9344</v>
      </c>
      <c r="E3930" s="6" t="s">
        <v>10210</v>
      </c>
      <c r="F3930" s="6" t="s">
        <v>10276</v>
      </c>
      <c r="G3930" s="6" t="s">
        <v>16</v>
      </c>
      <c r="H3930" s="5">
        <v>2</v>
      </c>
      <c r="I3930" s="6" t="s">
        <v>10277</v>
      </c>
      <c r="J3930" s="5">
        <v>504</v>
      </c>
    </row>
    <row r="3931" s="2" customFormat="1" spans="1:10">
      <c r="A3931" s="6">
        <f>3929</f>
        <v>3929</v>
      </c>
      <c r="B3931" s="6" t="s">
        <v>10278</v>
      </c>
      <c r="C3931" s="6" t="s">
        <v>12</v>
      </c>
      <c r="D3931" s="6" t="s">
        <v>9344</v>
      </c>
      <c r="E3931" s="6" t="s">
        <v>10210</v>
      </c>
      <c r="F3931" s="6" t="s">
        <v>10279</v>
      </c>
      <c r="G3931" s="6" t="s">
        <v>16</v>
      </c>
      <c r="H3931" s="5">
        <v>3</v>
      </c>
      <c r="I3931" s="6" t="s">
        <v>10280</v>
      </c>
      <c r="J3931" s="5">
        <v>840</v>
      </c>
    </row>
    <row r="3932" s="2" customFormat="1" spans="1:10">
      <c r="A3932" s="6">
        <f>3930</f>
        <v>3930</v>
      </c>
      <c r="B3932" s="6" t="s">
        <v>10281</v>
      </c>
      <c r="C3932" s="6" t="s">
        <v>12</v>
      </c>
      <c r="D3932" s="6" t="s">
        <v>9344</v>
      </c>
      <c r="E3932" s="6" t="s">
        <v>10210</v>
      </c>
      <c r="F3932" s="6" t="s">
        <v>10282</v>
      </c>
      <c r="G3932" s="6" t="s">
        <v>16</v>
      </c>
      <c r="H3932" s="5">
        <v>2</v>
      </c>
      <c r="I3932" s="6" t="s">
        <v>10283</v>
      </c>
      <c r="J3932" s="5">
        <v>480</v>
      </c>
    </row>
    <row r="3933" s="2" customFormat="1" spans="1:10">
      <c r="A3933" s="6">
        <f>3931</f>
        <v>3931</v>
      </c>
      <c r="B3933" s="6" t="s">
        <v>10284</v>
      </c>
      <c r="C3933" s="6" t="s">
        <v>12</v>
      </c>
      <c r="D3933" s="6" t="s">
        <v>9344</v>
      </c>
      <c r="E3933" s="6" t="s">
        <v>10210</v>
      </c>
      <c r="F3933" s="6" t="s">
        <v>10285</v>
      </c>
      <c r="G3933" s="6" t="s">
        <v>16</v>
      </c>
      <c r="H3933" s="5">
        <v>1</v>
      </c>
      <c r="I3933" s="6" t="s">
        <v>10285</v>
      </c>
      <c r="J3933" s="5">
        <v>360</v>
      </c>
    </row>
    <row r="3934" s="2" customFormat="1" ht="27" spans="1:10">
      <c r="A3934" s="6">
        <f>3932</f>
        <v>3932</v>
      </c>
      <c r="B3934" s="6" t="s">
        <v>10286</v>
      </c>
      <c r="C3934" s="6" t="s">
        <v>12</v>
      </c>
      <c r="D3934" s="6" t="s">
        <v>9344</v>
      </c>
      <c r="E3934" s="6" t="s">
        <v>10210</v>
      </c>
      <c r="F3934" s="6" t="s">
        <v>10287</v>
      </c>
      <c r="G3934" s="6" t="s">
        <v>16</v>
      </c>
      <c r="H3934" s="5">
        <v>4</v>
      </c>
      <c r="I3934" s="6" t="s">
        <v>10288</v>
      </c>
      <c r="J3934" s="5">
        <v>740</v>
      </c>
    </row>
    <row r="3935" s="2" customFormat="1" spans="1:10">
      <c r="A3935" s="6">
        <f>3933</f>
        <v>3933</v>
      </c>
      <c r="B3935" s="6" t="s">
        <v>10289</v>
      </c>
      <c r="C3935" s="6" t="s">
        <v>12</v>
      </c>
      <c r="D3935" s="6" t="s">
        <v>9344</v>
      </c>
      <c r="E3935" s="6" t="s">
        <v>10210</v>
      </c>
      <c r="F3935" s="6" t="s">
        <v>10290</v>
      </c>
      <c r="G3935" s="6" t="s">
        <v>16</v>
      </c>
      <c r="H3935" s="5">
        <v>3</v>
      </c>
      <c r="I3935" s="6" t="s">
        <v>10291</v>
      </c>
      <c r="J3935" s="5">
        <v>765</v>
      </c>
    </row>
    <row r="3936" s="2" customFormat="1" spans="1:10">
      <c r="A3936" s="6">
        <f>3934</f>
        <v>3934</v>
      </c>
      <c r="B3936" s="6" t="s">
        <v>10292</v>
      </c>
      <c r="C3936" s="6" t="s">
        <v>12</v>
      </c>
      <c r="D3936" s="6" t="s">
        <v>9344</v>
      </c>
      <c r="E3936" s="6" t="s">
        <v>10210</v>
      </c>
      <c r="F3936" s="6" t="s">
        <v>10293</v>
      </c>
      <c r="G3936" s="6" t="s">
        <v>16</v>
      </c>
      <c r="H3936" s="5">
        <v>1</v>
      </c>
      <c r="I3936" s="6" t="s">
        <v>10293</v>
      </c>
      <c r="J3936" s="5">
        <v>440</v>
      </c>
    </row>
    <row r="3937" s="2" customFormat="1" spans="1:10">
      <c r="A3937" s="6">
        <f>3935</f>
        <v>3935</v>
      </c>
      <c r="B3937" s="6" t="s">
        <v>10294</v>
      </c>
      <c r="C3937" s="6" t="s">
        <v>12</v>
      </c>
      <c r="D3937" s="6" t="s">
        <v>9344</v>
      </c>
      <c r="E3937" s="6" t="s">
        <v>10210</v>
      </c>
      <c r="F3937" s="6" t="s">
        <v>10295</v>
      </c>
      <c r="G3937" s="6" t="s">
        <v>16</v>
      </c>
      <c r="H3937" s="5">
        <v>1</v>
      </c>
      <c r="I3937" s="6" t="s">
        <v>10295</v>
      </c>
      <c r="J3937" s="5">
        <v>373</v>
      </c>
    </row>
    <row r="3938" s="2" customFormat="1" ht="27" spans="1:10">
      <c r="A3938" s="6">
        <f>3936</f>
        <v>3936</v>
      </c>
      <c r="B3938" s="6" t="s">
        <v>10296</v>
      </c>
      <c r="C3938" s="6" t="s">
        <v>12</v>
      </c>
      <c r="D3938" s="6" t="s">
        <v>9344</v>
      </c>
      <c r="E3938" s="6" t="s">
        <v>10210</v>
      </c>
      <c r="F3938" s="6" t="s">
        <v>9971</v>
      </c>
      <c r="G3938" s="6" t="s">
        <v>16</v>
      </c>
      <c r="H3938" s="5">
        <v>4</v>
      </c>
      <c r="I3938" s="6" t="s">
        <v>10297</v>
      </c>
      <c r="J3938" s="5">
        <v>440</v>
      </c>
    </row>
    <row r="3939" s="2" customFormat="1" spans="1:10">
      <c r="A3939" s="6">
        <f>3937</f>
        <v>3937</v>
      </c>
      <c r="B3939" s="6" t="s">
        <v>10298</v>
      </c>
      <c r="C3939" s="6" t="s">
        <v>12</v>
      </c>
      <c r="D3939" s="6" t="s">
        <v>9344</v>
      </c>
      <c r="E3939" s="6" t="s">
        <v>10210</v>
      </c>
      <c r="F3939" s="6" t="s">
        <v>10299</v>
      </c>
      <c r="G3939" s="6" t="s">
        <v>16</v>
      </c>
      <c r="H3939" s="5">
        <v>3</v>
      </c>
      <c r="I3939" s="6" t="s">
        <v>10300</v>
      </c>
      <c r="J3939" s="5">
        <v>765</v>
      </c>
    </row>
    <row r="3940" s="2" customFormat="1" spans="1:10">
      <c r="A3940" s="6">
        <f>3938</f>
        <v>3938</v>
      </c>
      <c r="B3940" s="6" t="s">
        <v>10301</v>
      </c>
      <c r="C3940" s="6" t="s">
        <v>12</v>
      </c>
      <c r="D3940" s="6" t="s">
        <v>9344</v>
      </c>
      <c r="E3940" s="6" t="s">
        <v>10210</v>
      </c>
      <c r="F3940" s="6" t="s">
        <v>10302</v>
      </c>
      <c r="G3940" s="6" t="s">
        <v>16</v>
      </c>
      <c r="H3940" s="5">
        <v>2</v>
      </c>
      <c r="I3940" s="6" t="s">
        <v>10303</v>
      </c>
      <c r="J3940" s="5">
        <v>320</v>
      </c>
    </row>
    <row r="3941" s="2" customFormat="1" spans="1:10">
      <c r="A3941" s="6">
        <f>3939</f>
        <v>3939</v>
      </c>
      <c r="B3941" s="6" t="s">
        <v>10304</v>
      </c>
      <c r="C3941" s="6" t="s">
        <v>12</v>
      </c>
      <c r="D3941" s="6" t="s">
        <v>9344</v>
      </c>
      <c r="E3941" s="6" t="s">
        <v>10210</v>
      </c>
      <c r="F3941" s="6" t="s">
        <v>10305</v>
      </c>
      <c r="G3941" s="6" t="s">
        <v>16</v>
      </c>
      <c r="H3941" s="5">
        <v>1</v>
      </c>
      <c r="I3941" s="6" t="s">
        <v>10305</v>
      </c>
      <c r="J3941" s="5">
        <v>360</v>
      </c>
    </row>
    <row r="3942" s="2" customFormat="1" spans="1:10">
      <c r="A3942" s="6">
        <f>3940</f>
        <v>3940</v>
      </c>
      <c r="B3942" s="6" t="s">
        <v>10306</v>
      </c>
      <c r="C3942" s="6" t="s">
        <v>12</v>
      </c>
      <c r="D3942" s="6" t="s">
        <v>9344</v>
      </c>
      <c r="E3942" s="6" t="s">
        <v>10210</v>
      </c>
      <c r="F3942" s="6" t="s">
        <v>10307</v>
      </c>
      <c r="G3942" s="6" t="s">
        <v>16</v>
      </c>
      <c r="H3942" s="5">
        <v>3</v>
      </c>
      <c r="I3942" s="6" t="s">
        <v>10308</v>
      </c>
      <c r="J3942" s="5">
        <v>895</v>
      </c>
    </row>
    <row r="3943" s="2" customFormat="1" ht="27" spans="1:10">
      <c r="A3943" s="6">
        <f>3941</f>
        <v>3941</v>
      </c>
      <c r="B3943" s="6" t="s">
        <v>10309</v>
      </c>
      <c r="C3943" s="6" t="s">
        <v>12</v>
      </c>
      <c r="D3943" s="6" t="s">
        <v>9344</v>
      </c>
      <c r="E3943" s="6" t="s">
        <v>10210</v>
      </c>
      <c r="F3943" s="6" t="s">
        <v>10310</v>
      </c>
      <c r="G3943" s="6" t="s">
        <v>16</v>
      </c>
      <c r="H3943" s="5">
        <v>5</v>
      </c>
      <c r="I3943" s="6" t="s">
        <v>10311</v>
      </c>
      <c r="J3943" s="5">
        <v>1100</v>
      </c>
    </row>
    <row r="3944" s="2" customFormat="1" spans="1:10">
      <c r="A3944" s="6">
        <f>3942</f>
        <v>3942</v>
      </c>
      <c r="B3944" s="6" t="s">
        <v>10312</v>
      </c>
      <c r="C3944" s="6" t="s">
        <v>12</v>
      </c>
      <c r="D3944" s="6" t="s">
        <v>9344</v>
      </c>
      <c r="E3944" s="6" t="s">
        <v>10210</v>
      </c>
      <c r="F3944" s="6" t="s">
        <v>10313</v>
      </c>
      <c r="G3944" s="6" t="s">
        <v>16</v>
      </c>
      <c r="H3944" s="5">
        <v>1</v>
      </c>
      <c r="I3944" s="6" t="s">
        <v>10313</v>
      </c>
      <c r="J3944" s="5">
        <v>380</v>
      </c>
    </row>
    <row r="3945" s="2" customFormat="1" spans="1:10">
      <c r="A3945" s="6">
        <f>3943</f>
        <v>3943</v>
      </c>
      <c r="B3945" s="6" t="s">
        <v>10314</v>
      </c>
      <c r="C3945" s="6" t="s">
        <v>12</v>
      </c>
      <c r="D3945" s="6" t="s">
        <v>9344</v>
      </c>
      <c r="E3945" s="6" t="s">
        <v>10210</v>
      </c>
      <c r="F3945" s="6" t="s">
        <v>10315</v>
      </c>
      <c r="G3945" s="6" t="s">
        <v>16</v>
      </c>
      <c r="H3945" s="5">
        <v>2</v>
      </c>
      <c r="I3945" s="6" t="s">
        <v>10316</v>
      </c>
      <c r="J3945" s="5">
        <v>570</v>
      </c>
    </row>
    <row r="3946" s="2" customFormat="1" spans="1:10">
      <c r="A3946" s="6">
        <f>3944</f>
        <v>3944</v>
      </c>
      <c r="B3946" s="6" t="s">
        <v>10317</v>
      </c>
      <c r="C3946" s="6" t="s">
        <v>12</v>
      </c>
      <c r="D3946" s="6" t="s">
        <v>9344</v>
      </c>
      <c r="E3946" s="6" t="s">
        <v>10210</v>
      </c>
      <c r="F3946" s="6" t="s">
        <v>10318</v>
      </c>
      <c r="G3946" s="6" t="s">
        <v>16</v>
      </c>
      <c r="H3946" s="5">
        <v>1</v>
      </c>
      <c r="I3946" s="6" t="s">
        <v>10318</v>
      </c>
      <c r="J3946" s="5">
        <v>460</v>
      </c>
    </row>
    <row r="3947" s="2" customFormat="1" ht="27" spans="1:10">
      <c r="A3947" s="6">
        <f>3945</f>
        <v>3945</v>
      </c>
      <c r="B3947" s="6" t="s">
        <v>10319</v>
      </c>
      <c r="C3947" s="6" t="s">
        <v>12</v>
      </c>
      <c r="D3947" s="6" t="s">
        <v>9344</v>
      </c>
      <c r="E3947" s="6" t="s">
        <v>10210</v>
      </c>
      <c r="F3947" s="6" t="s">
        <v>10320</v>
      </c>
      <c r="G3947" s="6" t="s">
        <v>16</v>
      </c>
      <c r="H3947" s="5">
        <v>6</v>
      </c>
      <c r="I3947" s="6" t="s">
        <v>10321</v>
      </c>
      <c r="J3947" s="5">
        <v>1340</v>
      </c>
    </row>
    <row r="3948" s="2" customFormat="1" spans="1:10">
      <c r="A3948" s="6">
        <f>3946</f>
        <v>3946</v>
      </c>
      <c r="B3948" s="6" t="s">
        <v>10322</v>
      </c>
      <c r="C3948" s="6" t="s">
        <v>12</v>
      </c>
      <c r="D3948" s="6" t="s">
        <v>9344</v>
      </c>
      <c r="E3948" s="6" t="s">
        <v>10210</v>
      </c>
      <c r="F3948" s="6" t="s">
        <v>10323</v>
      </c>
      <c r="G3948" s="6" t="s">
        <v>16</v>
      </c>
      <c r="H3948" s="5">
        <v>1</v>
      </c>
      <c r="I3948" s="6" t="s">
        <v>10323</v>
      </c>
      <c r="J3948" s="5">
        <v>248</v>
      </c>
    </row>
    <row r="3949" s="2" customFormat="1" spans="1:10">
      <c r="A3949" s="6">
        <f>3947</f>
        <v>3947</v>
      </c>
      <c r="B3949" s="6" t="s">
        <v>10324</v>
      </c>
      <c r="C3949" s="6" t="s">
        <v>12</v>
      </c>
      <c r="D3949" s="6" t="s">
        <v>9344</v>
      </c>
      <c r="E3949" s="6" t="s">
        <v>10210</v>
      </c>
      <c r="F3949" s="6" t="s">
        <v>10325</v>
      </c>
      <c r="G3949" s="6" t="s">
        <v>16</v>
      </c>
      <c r="H3949" s="5">
        <v>1</v>
      </c>
      <c r="I3949" s="6" t="s">
        <v>10325</v>
      </c>
      <c r="J3949" s="5">
        <v>245</v>
      </c>
    </row>
    <row r="3950" s="2" customFormat="1" spans="1:10">
      <c r="A3950" s="6">
        <f>3948</f>
        <v>3948</v>
      </c>
      <c r="B3950" s="6" t="s">
        <v>10326</v>
      </c>
      <c r="C3950" s="6" t="s">
        <v>12</v>
      </c>
      <c r="D3950" s="6" t="s">
        <v>9344</v>
      </c>
      <c r="E3950" s="6" t="s">
        <v>10210</v>
      </c>
      <c r="F3950" s="6" t="s">
        <v>10327</v>
      </c>
      <c r="G3950" s="6" t="s">
        <v>16</v>
      </c>
      <c r="H3950" s="5">
        <v>3</v>
      </c>
      <c r="I3950" s="6" t="s">
        <v>10328</v>
      </c>
      <c r="J3950" s="5">
        <v>735</v>
      </c>
    </row>
    <row r="3951" s="2" customFormat="1" spans="1:10">
      <c r="A3951" s="6">
        <f>3949</f>
        <v>3949</v>
      </c>
      <c r="B3951" s="6" t="s">
        <v>10329</v>
      </c>
      <c r="C3951" s="6" t="s">
        <v>12</v>
      </c>
      <c r="D3951" s="6" t="s">
        <v>9344</v>
      </c>
      <c r="E3951" s="6" t="s">
        <v>10210</v>
      </c>
      <c r="F3951" s="6" t="s">
        <v>10330</v>
      </c>
      <c r="G3951" s="6" t="s">
        <v>16</v>
      </c>
      <c r="H3951" s="5">
        <v>1</v>
      </c>
      <c r="I3951" s="6" t="s">
        <v>10330</v>
      </c>
      <c r="J3951" s="5">
        <v>245</v>
      </c>
    </row>
    <row r="3952" s="2" customFormat="1" spans="1:10">
      <c r="A3952" s="6">
        <f>3950</f>
        <v>3950</v>
      </c>
      <c r="B3952" s="6" t="s">
        <v>10331</v>
      </c>
      <c r="C3952" s="6" t="s">
        <v>12</v>
      </c>
      <c r="D3952" s="6" t="s">
        <v>9344</v>
      </c>
      <c r="E3952" s="6" t="s">
        <v>10210</v>
      </c>
      <c r="F3952" s="6" t="s">
        <v>10332</v>
      </c>
      <c r="G3952" s="6" t="s">
        <v>16</v>
      </c>
      <c r="H3952" s="5">
        <v>1</v>
      </c>
      <c r="I3952" s="6" t="s">
        <v>10332</v>
      </c>
      <c r="J3952" s="5">
        <v>248</v>
      </c>
    </row>
    <row r="3953" s="2" customFormat="1" spans="1:10">
      <c r="A3953" s="6">
        <f>3951</f>
        <v>3951</v>
      </c>
      <c r="B3953" s="6" t="s">
        <v>10333</v>
      </c>
      <c r="C3953" s="6" t="s">
        <v>12</v>
      </c>
      <c r="D3953" s="6" t="s">
        <v>9344</v>
      </c>
      <c r="E3953" s="6" t="s">
        <v>10210</v>
      </c>
      <c r="F3953" s="6" t="s">
        <v>10334</v>
      </c>
      <c r="G3953" s="6" t="s">
        <v>16</v>
      </c>
      <c r="H3953" s="5">
        <v>1</v>
      </c>
      <c r="I3953" s="6" t="s">
        <v>10334</v>
      </c>
      <c r="J3953" s="5">
        <v>345</v>
      </c>
    </row>
    <row r="3954" s="2" customFormat="1" spans="1:10">
      <c r="A3954" s="6">
        <f>3952</f>
        <v>3952</v>
      </c>
      <c r="B3954" s="6" t="s">
        <v>10335</v>
      </c>
      <c r="C3954" s="6" t="s">
        <v>12</v>
      </c>
      <c r="D3954" s="6" t="s">
        <v>9344</v>
      </c>
      <c r="E3954" s="6" t="s">
        <v>10210</v>
      </c>
      <c r="F3954" s="6" t="s">
        <v>10336</v>
      </c>
      <c r="G3954" s="6" t="s">
        <v>16</v>
      </c>
      <c r="H3954" s="5">
        <v>2</v>
      </c>
      <c r="I3954" s="6" t="s">
        <v>10337</v>
      </c>
      <c r="J3954" s="5">
        <v>528</v>
      </c>
    </row>
    <row r="3955" s="2" customFormat="1" spans="1:10">
      <c r="A3955" s="6">
        <f>3953</f>
        <v>3953</v>
      </c>
      <c r="B3955" s="6" t="s">
        <v>10338</v>
      </c>
      <c r="C3955" s="6" t="s">
        <v>12</v>
      </c>
      <c r="D3955" s="6" t="s">
        <v>9344</v>
      </c>
      <c r="E3955" s="6" t="s">
        <v>10210</v>
      </c>
      <c r="F3955" s="6" t="s">
        <v>10339</v>
      </c>
      <c r="G3955" s="6" t="s">
        <v>16</v>
      </c>
      <c r="H3955" s="5">
        <v>1</v>
      </c>
      <c r="I3955" s="6" t="s">
        <v>10339</v>
      </c>
      <c r="J3955" s="5">
        <v>383</v>
      </c>
    </row>
    <row r="3956" s="2" customFormat="1" spans="1:10">
      <c r="A3956" s="6">
        <f>3954</f>
        <v>3954</v>
      </c>
      <c r="B3956" s="6" t="s">
        <v>10340</v>
      </c>
      <c r="C3956" s="6" t="s">
        <v>12</v>
      </c>
      <c r="D3956" s="6" t="s">
        <v>9344</v>
      </c>
      <c r="E3956" s="6" t="s">
        <v>10210</v>
      </c>
      <c r="F3956" s="6" t="s">
        <v>10341</v>
      </c>
      <c r="G3956" s="6" t="s">
        <v>16</v>
      </c>
      <c r="H3956" s="5">
        <v>1</v>
      </c>
      <c r="I3956" s="6" t="s">
        <v>10341</v>
      </c>
      <c r="J3956" s="5">
        <v>260</v>
      </c>
    </row>
    <row r="3957" s="2" customFormat="1" spans="1:10">
      <c r="A3957" s="6">
        <f>3955</f>
        <v>3955</v>
      </c>
      <c r="B3957" s="6" t="s">
        <v>10342</v>
      </c>
      <c r="C3957" s="6" t="s">
        <v>12</v>
      </c>
      <c r="D3957" s="6" t="s">
        <v>9344</v>
      </c>
      <c r="E3957" s="6" t="s">
        <v>10210</v>
      </c>
      <c r="F3957" s="6" t="s">
        <v>10343</v>
      </c>
      <c r="G3957" s="6" t="s">
        <v>16</v>
      </c>
      <c r="H3957" s="5">
        <v>1</v>
      </c>
      <c r="I3957" s="6" t="s">
        <v>10343</v>
      </c>
      <c r="J3957" s="5">
        <v>245</v>
      </c>
    </row>
    <row r="3958" s="2" customFormat="1" spans="1:10">
      <c r="A3958" s="6">
        <f>3956</f>
        <v>3956</v>
      </c>
      <c r="B3958" s="6" t="s">
        <v>10344</v>
      </c>
      <c r="C3958" s="6" t="s">
        <v>12</v>
      </c>
      <c r="D3958" s="6" t="s">
        <v>9344</v>
      </c>
      <c r="E3958" s="6" t="s">
        <v>10210</v>
      </c>
      <c r="F3958" s="6" t="s">
        <v>10345</v>
      </c>
      <c r="G3958" s="6" t="s">
        <v>16</v>
      </c>
      <c r="H3958" s="5">
        <v>1</v>
      </c>
      <c r="I3958" s="6" t="s">
        <v>10345</v>
      </c>
      <c r="J3958" s="5">
        <v>373</v>
      </c>
    </row>
    <row r="3959" s="2" customFormat="1" spans="1:10">
      <c r="A3959" s="6">
        <f>3957</f>
        <v>3957</v>
      </c>
      <c r="B3959" s="6" t="s">
        <v>10346</v>
      </c>
      <c r="C3959" s="6" t="s">
        <v>12</v>
      </c>
      <c r="D3959" s="6" t="s">
        <v>9344</v>
      </c>
      <c r="E3959" s="6" t="s">
        <v>10210</v>
      </c>
      <c r="F3959" s="6" t="s">
        <v>10347</v>
      </c>
      <c r="G3959" s="6" t="s">
        <v>16</v>
      </c>
      <c r="H3959" s="5">
        <v>2</v>
      </c>
      <c r="I3959" s="6" t="s">
        <v>10348</v>
      </c>
      <c r="J3959" s="5">
        <v>620</v>
      </c>
    </row>
    <row r="3960" s="2" customFormat="1" spans="1:10">
      <c r="A3960" s="6">
        <f>3958</f>
        <v>3958</v>
      </c>
      <c r="B3960" s="6" t="s">
        <v>10349</v>
      </c>
      <c r="C3960" s="6" t="s">
        <v>12</v>
      </c>
      <c r="D3960" s="6" t="s">
        <v>9344</v>
      </c>
      <c r="E3960" s="6" t="s">
        <v>10210</v>
      </c>
      <c r="F3960" s="6" t="s">
        <v>10350</v>
      </c>
      <c r="G3960" s="6" t="s">
        <v>16</v>
      </c>
      <c r="H3960" s="5">
        <v>3</v>
      </c>
      <c r="I3960" s="6" t="s">
        <v>10351</v>
      </c>
      <c r="J3960" s="5">
        <v>430</v>
      </c>
    </row>
    <row r="3961" s="2" customFormat="1" spans="1:10">
      <c r="A3961" s="6">
        <f>3959</f>
        <v>3959</v>
      </c>
      <c r="B3961" s="6" t="s">
        <v>10352</v>
      </c>
      <c r="C3961" s="6" t="s">
        <v>12</v>
      </c>
      <c r="D3961" s="6" t="s">
        <v>9344</v>
      </c>
      <c r="E3961" s="6" t="s">
        <v>10210</v>
      </c>
      <c r="F3961" s="6" t="s">
        <v>10353</v>
      </c>
      <c r="G3961" s="6" t="s">
        <v>16</v>
      </c>
      <c r="H3961" s="5">
        <v>1</v>
      </c>
      <c r="I3961" s="6" t="s">
        <v>10353</v>
      </c>
      <c r="J3961" s="5">
        <v>260</v>
      </c>
    </row>
    <row r="3962" s="2" customFormat="1" ht="27" spans="1:10">
      <c r="A3962" s="6">
        <f>3960</f>
        <v>3960</v>
      </c>
      <c r="B3962" s="6" t="s">
        <v>10354</v>
      </c>
      <c r="C3962" s="6" t="s">
        <v>12</v>
      </c>
      <c r="D3962" s="6" t="s">
        <v>9344</v>
      </c>
      <c r="E3962" s="6" t="s">
        <v>10355</v>
      </c>
      <c r="F3962" s="6" t="s">
        <v>10356</v>
      </c>
      <c r="G3962" s="6" t="s">
        <v>16</v>
      </c>
      <c r="H3962" s="5">
        <v>4</v>
      </c>
      <c r="I3962" s="6" t="s">
        <v>10357</v>
      </c>
      <c r="J3962" s="5">
        <v>1360</v>
      </c>
    </row>
    <row r="3963" s="2" customFormat="1" ht="27" spans="1:10">
      <c r="A3963" s="6">
        <f>3961</f>
        <v>3961</v>
      </c>
      <c r="B3963" s="6" t="s">
        <v>10358</v>
      </c>
      <c r="C3963" s="6" t="s">
        <v>12</v>
      </c>
      <c r="D3963" s="6" t="s">
        <v>9344</v>
      </c>
      <c r="E3963" s="6" t="s">
        <v>10355</v>
      </c>
      <c r="F3963" s="6" t="s">
        <v>10359</v>
      </c>
      <c r="G3963" s="6" t="s">
        <v>16</v>
      </c>
      <c r="H3963" s="5">
        <v>5</v>
      </c>
      <c r="I3963" s="6" t="s">
        <v>10360</v>
      </c>
      <c r="J3963" s="5">
        <v>900</v>
      </c>
    </row>
    <row r="3964" s="2" customFormat="1" ht="27" spans="1:10">
      <c r="A3964" s="6">
        <f>3962</f>
        <v>3962</v>
      </c>
      <c r="B3964" s="6" t="s">
        <v>10361</v>
      </c>
      <c r="C3964" s="6" t="s">
        <v>12</v>
      </c>
      <c r="D3964" s="6" t="s">
        <v>9344</v>
      </c>
      <c r="E3964" s="6" t="s">
        <v>10355</v>
      </c>
      <c r="F3964" s="6" t="s">
        <v>10362</v>
      </c>
      <c r="G3964" s="6" t="s">
        <v>16</v>
      </c>
      <c r="H3964" s="5">
        <v>5</v>
      </c>
      <c r="I3964" s="6" t="s">
        <v>10363</v>
      </c>
      <c r="J3964" s="5">
        <v>900</v>
      </c>
    </row>
    <row r="3965" s="2" customFormat="1" spans="1:10">
      <c r="A3965" s="6">
        <f>3963</f>
        <v>3963</v>
      </c>
      <c r="B3965" s="6" t="s">
        <v>10364</v>
      </c>
      <c r="C3965" s="6" t="s">
        <v>12</v>
      </c>
      <c r="D3965" s="6" t="s">
        <v>9344</v>
      </c>
      <c r="E3965" s="6" t="s">
        <v>10355</v>
      </c>
      <c r="F3965" s="6" t="s">
        <v>10365</v>
      </c>
      <c r="G3965" s="6" t="s">
        <v>16</v>
      </c>
      <c r="H3965" s="5">
        <v>1</v>
      </c>
      <c r="I3965" s="6" t="s">
        <v>10365</v>
      </c>
      <c r="J3965" s="5">
        <v>240</v>
      </c>
    </row>
    <row r="3966" s="2" customFormat="1" ht="27" spans="1:10">
      <c r="A3966" s="6">
        <f>3964</f>
        <v>3964</v>
      </c>
      <c r="B3966" s="6" t="s">
        <v>10366</v>
      </c>
      <c r="C3966" s="6" t="s">
        <v>12</v>
      </c>
      <c r="D3966" s="6" t="s">
        <v>9344</v>
      </c>
      <c r="E3966" s="6" t="s">
        <v>10355</v>
      </c>
      <c r="F3966" s="6" t="s">
        <v>10367</v>
      </c>
      <c r="G3966" s="6" t="s">
        <v>16</v>
      </c>
      <c r="H3966" s="5">
        <v>4</v>
      </c>
      <c r="I3966" s="6" t="s">
        <v>10368</v>
      </c>
      <c r="J3966" s="5">
        <v>700</v>
      </c>
    </row>
    <row r="3967" s="2" customFormat="1" spans="1:10">
      <c r="A3967" s="6">
        <f>3965</f>
        <v>3965</v>
      </c>
      <c r="B3967" s="6" t="s">
        <v>10369</v>
      </c>
      <c r="C3967" s="6" t="s">
        <v>12</v>
      </c>
      <c r="D3967" s="6" t="s">
        <v>9344</v>
      </c>
      <c r="E3967" s="6" t="s">
        <v>10355</v>
      </c>
      <c r="F3967" s="6" t="s">
        <v>10370</v>
      </c>
      <c r="G3967" s="6" t="s">
        <v>16</v>
      </c>
      <c r="H3967" s="5">
        <v>3</v>
      </c>
      <c r="I3967" s="6" t="s">
        <v>10371</v>
      </c>
      <c r="J3967" s="5">
        <v>1220</v>
      </c>
    </row>
    <row r="3968" s="2" customFormat="1" spans="1:10">
      <c r="A3968" s="6">
        <f>3966</f>
        <v>3966</v>
      </c>
      <c r="B3968" s="6" t="s">
        <v>10372</v>
      </c>
      <c r="C3968" s="6" t="s">
        <v>12</v>
      </c>
      <c r="D3968" s="6" t="s">
        <v>9344</v>
      </c>
      <c r="E3968" s="6" t="s">
        <v>10355</v>
      </c>
      <c r="F3968" s="6" t="s">
        <v>10373</v>
      </c>
      <c r="G3968" s="6" t="s">
        <v>16</v>
      </c>
      <c r="H3968" s="5">
        <v>2</v>
      </c>
      <c r="I3968" s="6" t="s">
        <v>10374</v>
      </c>
      <c r="J3968" s="5">
        <v>330</v>
      </c>
    </row>
    <row r="3969" s="2" customFormat="1" ht="27" spans="1:10">
      <c r="A3969" s="6">
        <f>3967</f>
        <v>3967</v>
      </c>
      <c r="B3969" s="6" t="s">
        <v>10375</v>
      </c>
      <c r="C3969" s="6" t="s">
        <v>12</v>
      </c>
      <c r="D3969" s="6" t="s">
        <v>9344</v>
      </c>
      <c r="E3969" s="6" t="s">
        <v>10355</v>
      </c>
      <c r="F3969" s="6" t="s">
        <v>10376</v>
      </c>
      <c r="G3969" s="6" t="s">
        <v>16</v>
      </c>
      <c r="H3969" s="5">
        <v>5</v>
      </c>
      <c r="I3969" s="6" t="s">
        <v>10377</v>
      </c>
      <c r="J3969" s="5">
        <v>1150</v>
      </c>
    </row>
    <row r="3970" s="2" customFormat="1" spans="1:10">
      <c r="A3970" s="6">
        <f>3968</f>
        <v>3968</v>
      </c>
      <c r="B3970" s="6" t="s">
        <v>10378</v>
      </c>
      <c r="C3970" s="6" t="s">
        <v>12</v>
      </c>
      <c r="D3970" s="6" t="s">
        <v>9344</v>
      </c>
      <c r="E3970" s="6" t="s">
        <v>10355</v>
      </c>
      <c r="F3970" s="6" t="s">
        <v>10379</v>
      </c>
      <c r="G3970" s="6" t="s">
        <v>16</v>
      </c>
      <c r="H3970" s="5">
        <v>2</v>
      </c>
      <c r="I3970" s="6" t="s">
        <v>10380</v>
      </c>
      <c r="J3970" s="5">
        <v>780</v>
      </c>
    </row>
    <row r="3971" s="2" customFormat="1" spans="1:10">
      <c r="A3971" s="6">
        <f>3969</f>
        <v>3969</v>
      </c>
      <c r="B3971" s="6" t="s">
        <v>10381</v>
      </c>
      <c r="C3971" s="6" t="s">
        <v>12</v>
      </c>
      <c r="D3971" s="6" t="s">
        <v>9344</v>
      </c>
      <c r="E3971" s="6" t="s">
        <v>10355</v>
      </c>
      <c r="F3971" s="6" t="s">
        <v>10382</v>
      </c>
      <c r="G3971" s="6" t="s">
        <v>16</v>
      </c>
      <c r="H3971" s="5">
        <v>2</v>
      </c>
      <c r="I3971" s="6" t="s">
        <v>10383</v>
      </c>
      <c r="J3971" s="5">
        <v>520</v>
      </c>
    </row>
    <row r="3972" s="2" customFormat="1" spans="1:10">
      <c r="A3972" s="6">
        <f>3970</f>
        <v>3970</v>
      </c>
      <c r="B3972" s="6" t="s">
        <v>10384</v>
      </c>
      <c r="C3972" s="6" t="s">
        <v>12</v>
      </c>
      <c r="D3972" s="6" t="s">
        <v>9344</v>
      </c>
      <c r="E3972" s="6" t="s">
        <v>10355</v>
      </c>
      <c r="F3972" s="6" t="s">
        <v>10385</v>
      </c>
      <c r="G3972" s="6" t="s">
        <v>16</v>
      </c>
      <c r="H3972" s="5">
        <v>2</v>
      </c>
      <c r="I3972" s="6" t="s">
        <v>10386</v>
      </c>
      <c r="J3972" s="5">
        <v>645</v>
      </c>
    </row>
    <row r="3973" s="2" customFormat="1" ht="27" spans="1:10">
      <c r="A3973" s="6">
        <f>3971</f>
        <v>3971</v>
      </c>
      <c r="B3973" s="6" t="s">
        <v>10387</v>
      </c>
      <c r="C3973" s="6" t="s">
        <v>12</v>
      </c>
      <c r="D3973" s="6" t="s">
        <v>9344</v>
      </c>
      <c r="E3973" s="6" t="s">
        <v>10355</v>
      </c>
      <c r="F3973" s="6" t="s">
        <v>10388</v>
      </c>
      <c r="G3973" s="6" t="s">
        <v>16</v>
      </c>
      <c r="H3973" s="5">
        <v>4</v>
      </c>
      <c r="I3973" s="6" t="s">
        <v>10389</v>
      </c>
      <c r="J3973" s="5">
        <v>1308</v>
      </c>
    </row>
    <row r="3974" s="2" customFormat="1" spans="1:10">
      <c r="A3974" s="6">
        <f>3972</f>
        <v>3972</v>
      </c>
      <c r="B3974" s="6" t="s">
        <v>10390</v>
      </c>
      <c r="C3974" s="6" t="s">
        <v>12</v>
      </c>
      <c r="D3974" s="6" t="s">
        <v>9344</v>
      </c>
      <c r="E3974" s="6" t="s">
        <v>10355</v>
      </c>
      <c r="F3974" s="6" t="s">
        <v>10391</v>
      </c>
      <c r="G3974" s="6" t="s">
        <v>16</v>
      </c>
      <c r="H3974" s="5">
        <v>3</v>
      </c>
      <c r="I3974" s="6" t="s">
        <v>10392</v>
      </c>
      <c r="J3974" s="5">
        <v>885</v>
      </c>
    </row>
    <row r="3975" s="2" customFormat="1" spans="1:10">
      <c r="A3975" s="6">
        <f>3973</f>
        <v>3973</v>
      </c>
      <c r="B3975" s="6" t="s">
        <v>10393</v>
      </c>
      <c r="C3975" s="6" t="s">
        <v>12</v>
      </c>
      <c r="D3975" s="6" t="s">
        <v>9344</v>
      </c>
      <c r="E3975" s="6" t="s">
        <v>10355</v>
      </c>
      <c r="F3975" s="6" t="s">
        <v>10394</v>
      </c>
      <c r="G3975" s="6" t="s">
        <v>16</v>
      </c>
      <c r="H3975" s="5">
        <v>2</v>
      </c>
      <c r="I3975" s="6" t="s">
        <v>10395</v>
      </c>
      <c r="J3975" s="5">
        <v>490</v>
      </c>
    </row>
    <row r="3976" s="2" customFormat="1" spans="1:10">
      <c r="A3976" s="6">
        <f>3974</f>
        <v>3974</v>
      </c>
      <c r="B3976" s="6" t="s">
        <v>10396</v>
      </c>
      <c r="C3976" s="6" t="s">
        <v>12</v>
      </c>
      <c r="D3976" s="6" t="s">
        <v>9344</v>
      </c>
      <c r="E3976" s="6" t="s">
        <v>10355</v>
      </c>
      <c r="F3976" s="6" t="s">
        <v>10397</v>
      </c>
      <c r="G3976" s="6" t="s">
        <v>16</v>
      </c>
      <c r="H3976" s="5">
        <v>2</v>
      </c>
      <c r="I3976" s="6" t="s">
        <v>10398</v>
      </c>
      <c r="J3976" s="5">
        <v>496</v>
      </c>
    </row>
    <row r="3977" s="2" customFormat="1" spans="1:10">
      <c r="A3977" s="6">
        <f>3975</f>
        <v>3975</v>
      </c>
      <c r="B3977" s="6" t="s">
        <v>10399</v>
      </c>
      <c r="C3977" s="6" t="s">
        <v>12</v>
      </c>
      <c r="D3977" s="6" t="s">
        <v>9344</v>
      </c>
      <c r="E3977" s="6" t="s">
        <v>10355</v>
      </c>
      <c r="F3977" s="6" t="s">
        <v>10400</v>
      </c>
      <c r="G3977" s="6" t="s">
        <v>16</v>
      </c>
      <c r="H3977" s="5">
        <v>1</v>
      </c>
      <c r="I3977" s="6" t="s">
        <v>10400</v>
      </c>
      <c r="J3977" s="5">
        <v>245</v>
      </c>
    </row>
    <row r="3978" s="2" customFormat="1" ht="27" spans="1:10">
      <c r="A3978" s="6">
        <f>3976</f>
        <v>3976</v>
      </c>
      <c r="B3978" s="6" t="s">
        <v>10401</v>
      </c>
      <c r="C3978" s="6" t="s">
        <v>12</v>
      </c>
      <c r="D3978" s="6" t="s">
        <v>9344</v>
      </c>
      <c r="E3978" s="6" t="s">
        <v>10355</v>
      </c>
      <c r="F3978" s="6" t="s">
        <v>10402</v>
      </c>
      <c r="G3978" s="6" t="s">
        <v>16</v>
      </c>
      <c r="H3978" s="5">
        <v>5</v>
      </c>
      <c r="I3978" s="6" t="s">
        <v>10403</v>
      </c>
      <c r="J3978" s="5">
        <v>1085</v>
      </c>
    </row>
    <row r="3979" s="2" customFormat="1" spans="1:10">
      <c r="A3979" s="6">
        <f>3977</f>
        <v>3977</v>
      </c>
      <c r="B3979" s="6" t="s">
        <v>10404</v>
      </c>
      <c r="C3979" s="6" t="s">
        <v>12</v>
      </c>
      <c r="D3979" s="6" t="s">
        <v>9344</v>
      </c>
      <c r="E3979" s="6" t="s">
        <v>10355</v>
      </c>
      <c r="F3979" s="6" t="s">
        <v>10405</v>
      </c>
      <c r="G3979" s="6" t="s">
        <v>16</v>
      </c>
      <c r="H3979" s="5">
        <v>1</v>
      </c>
      <c r="I3979" s="6" t="s">
        <v>10405</v>
      </c>
      <c r="J3979" s="5">
        <v>323</v>
      </c>
    </row>
    <row r="3980" s="2" customFormat="1" spans="1:10">
      <c r="A3980" s="6">
        <f>3978</f>
        <v>3978</v>
      </c>
      <c r="B3980" s="6" t="s">
        <v>10406</v>
      </c>
      <c r="C3980" s="6" t="s">
        <v>12</v>
      </c>
      <c r="D3980" s="6" t="s">
        <v>9344</v>
      </c>
      <c r="E3980" s="6" t="s">
        <v>10355</v>
      </c>
      <c r="F3980" s="6" t="s">
        <v>10407</v>
      </c>
      <c r="G3980" s="6" t="s">
        <v>16</v>
      </c>
      <c r="H3980" s="5">
        <v>1</v>
      </c>
      <c r="I3980" s="6" t="s">
        <v>10407</v>
      </c>
      <c r="J3980" s="5">
        <v>248</v>
      </c>
    </row>
    <row r="3981" s="2" customFormat="1" spans="1:10">
      <c r="A3981" s="6">
        <f>3979</f>
        <v>3979</v>
      </c>
      <c r="B3981" s="6" t="s">
        <v>10408</v>
      </c>
      <c r="C3981" s="6" t="s">
        <v>12</v>
      </c>
      <c r="D3981" s="6" t="s">
        <v>9344</v>
      </c>
      <c r="E3981" s="6" t="s">
        <v>10355</v>
      </c>
      <c r="F3981" s="6" t="s">
        <v>10409</v>
      </c>
      <c r="G3981" s="6" t="s">
        <v>16</v>
      </c>
      <c r="H3981" s="5">
        <v>2</v>
      </c>
      <c r="I3981" s="6" t="s">
        <v>10410</v>
      </c>
      <c r="J3981" s="5">
        <v>610</v>
      </c>
    </row>
    <row r="3982" s="2" customFormat="1" spans="1:10">
      <c r="A3982" s="6">
        <f>3980</f>
        <v>3980</v>
      </c>
      <c r="B3982" s="6" t="s">
        <v>10411</v>
      </c>
      <c r="C3982" s="6" t="s">
        <v>12</v>
      </c>
      <c r="D3982" s="6" t="s">
        <v>9344</v>
      </c>
      <c r="E3982" s="6" t="s">
        <v>10355</v>
      </c>
      <c r="F3982" s="6" t="s">
        <v>10412</v>
      </c>
      <c r="G3982" s="6" t="s">
        <v>16</v>
      </c>
      <c r="H3982" s="5">
        <v>1</v>
      </c>
      <c r="I3982" s="6" t="s">
        <v>10412</v>
      </c>
      <c r="J3982" s="5">
        <v>245</v>
      </c>
    </row>
    <row r="3983" s="2" customFormat="1" spans="1:10">
      <c r="A3983" s="6">
        <f>3981</f>
        <v>3981</v>
      </c>
      <c r="B3983" s="6" t="s">
        <v>10413</v>
      </c>
      <c r="C3983" s="6" t="s">
        <v>12</v>
      </c>
      <c r="D3983" s="6" t="s">
        <v>9344</v>
      </c>
      <c r="E3983" s="6" t="s">
        <v>10355</v>
      </c>
      <c r="F3983" s="6" t="s">
        <v>10414</v>
      </c>
      <c r="G3983" s="6" t="s">
        <v>16</v>
      </c>
      <c r="H3983" s="5">
        <v>1</v>
      </c>
      <c r="I3983" s="6" t="s">
        <v>10414</v>
      </c>
      <c r="J3983" s="5">
        <v>248</v>
      </c>
    </row>
    <row r="3984" s="2" customFormat="1" ht="27" spans="1:10">
      <c r="A3984" s="6">
        <f>3982</f>
        <v>3982</v>
      </c>
      <c r="B3984" s="6" t="s">
        <v>10415</v>
      </c>
      <c r="C3984" s="6" t="s">
        <v>12</v>
      </c>
      <c r="D3984" s="6" t="s">
        <v>9344</v>
      </c>
      <c r="E3984" s="6" t="s">
        <v>10355</v>
      </c>
      <c r="F3984" s="6" t="s">
        <v>10416</v>
      </c>
      <c r="G3984" s="6" t="s">
        <v>16</v>
      </c>
      <c r="H3984" s="5">
        <v>4</v>
      </c>
      <c r="I3984" s="6" t="s">
        <v>10417</v>
      </c>
      <c r="J3984" s="5">
        <v>868</v>
      </c>
    </row>
    <row r="3985" s="2" customFormat="1" spans="1:10">
      <c r="A3985" s="6">
        <f>3983</f>
        <v>3983</v>
      </c>
      <c r="B3985" s="6" t="s">
        <v>10418</v>
      </c>
      <c r="C3985" s="6" t="s">
        <v>12</v>
      </c>
      <c r="D3985" s="6" t="s">
        <v>9344</v>
      </c>
      <c r="E3985" s="6" t="s">
        <v>10355</v>
      </c>
      <c r="F3985" s="6" t="s">
        <v>7447</v>
      </c>
      <c r="G3985" s="6" t="s">
        <v>16</v>
      </c>
      <c r="H3985" s="5">
        <v>2</v>
      </c>
      <c r="I3985" s="6" t="s">
        <v>10419</v>
      </c>
      <c r="J3985" s="5">
        <v>520</v>
      </c>
    </row>
    <row r="3986" s="2" customFormat="1" spans="1:10">
      <c r="A3986" s="6">
        <f>3984</f>
        <v>3984</v>
      </c>
      <c r="B3986" s="6" t="s">
        <v>10420</v>
      </c>
      <c r="C3986" s="6" t="s">
        <v>12</v>
      </c>
      <c r="D3986" s="6" t="s">
        <v>9344</v>
      </c>
      <c r="E3986" s="6" t="s">
        <v>10355</v>
      </c>
      <c r="F3986" s="6" t="s">
        <v>10421</v>
      </c>
      <c r="G3986" s="6" t="s">
        <v>16</v>
      </c>
      <c r="H3986" s="5">
        <v>2</v>
      </c>
      <c r="I3986" s="6" t="s">
        <v>10422</v>
      </c>
      <c r="J3986" s="5">
        <v>700</v>
      </c>
    </row>
    <row r="3987" s="2" customFormat="1" spans="1:10">
      <c r="A3987" s="6">
        <f>3985</f>
        <v>3985</v>
      </c>
      <c r="B3987" s="6" t="s">
        <v>10423</v>
      </c>
      <c r="C3987" s="6" t="s">
        <v>12</v>
      </c>
      <c r="D3987" s="6" t="s">
        <v>9344</v>
      </c>
      <c r="E3987" s="6" t="s">
        <v>10355</v>
      </c>
      <c r="F3987" s="6" t="s">
        <v>10424</v>
      </c>
      <c r="G3987" s="6" t="s">
        <v>16</v>
      </c>
      <c r="H3987" s="5">
        <v>1</v>
      </c>
      <c r="I3987" s="6" t="s">
        <v>10424</v>
      </c>
      <c r="J3987" s="5">
        <v>248</v>
      </c>
    </row>
    <row r="3988" s="2" customFormat="1" spans="1:10">
      <c r="A3988" s="6">
        <f>3986</f>
        <v>3986</v>
      </c>
      <c r="B3988" s="6" t="s">
        <v>10425</v>
      </c>
      <c r="C3988" s="6" t="s">
        <v>12</v>
      </c>
      <c r="D3988" s="6" t="s">
        <v>9344</v>
      </c>
      <c r="E3988" s="6" t="s">
        <v>10355</v>
      </c>
      <c r="F3988" s="6" t="s">
        <v>10426</v>
      </c>
      <c r="G3988" s="6" t="s">
        <v>16</v>
      </c>
      <c r="H3988" s="5">
        <v>1</v>
      </c>
      <c r="I3988" s="6" t="s">
        <v>10426</v>
      </c>
      <c r="J3988" s="5">
        <v>360</v>
      </c>
    </row>
    <row r="3989" s="2" customFormat="1" spans="1:10">
      <c r="A3989" s="6">
        <f>3987</f>
        <v>3987</v>
      </c>
      <c r="B3989" s="6" t="s">
        <v>10427</v>
      </c>
      <c r="C3989" s="6" t="s">
        <v>12</v>
      </c>
      <c r="D3989" s="6" t="s">
        <v>9344</v>
      </c>
      <c r="E3989" s="6" t="s">
        <v>10355</v>
      </c>
      <c r="F3989" s="6" t="s">
        <v>10428</v>
      </c>
      <c r="G3989" s="6" t="s">
        <v>16</v>
      </c>
      <c r="H3989" s="5">
        <v>1</v>
      </c>
      <c r="I3989" s="6" t="s">
        <v>10428</v>
      </c>
      <c r="J3989" s="5">
        <v>255</v>
      </c>
    </row>
    <row r="3990" s="2" customFormat="1" ht="27" spans="1:10">
      <c r="A3990" s="6">
        <f>3988</f>
        <v>3988</v>
      </c>
      <c r="B3990" s="6" t="s">
        <v>10429</v>
      </c>
      <c r="C3990" s="6" t="s">
        <v>12</v>
      </c>
      <c r="D3990" s="6" t="s">
        <v>9344</v>
      </c>
      <c r="E3990" s="6" t="s">
        <v>10355</v>
      </c>
      <c r="F3990" s="6" t="s">
        <v>10430</v>
      </c>
      <c r="G3990" s="6" t="s">
        <v>16</v>
      </c>
      <c r="H3990" s="5">
        <v>5</v>
      </c>
      <c r="I3990" s="6" t="s">
        <v>10431</v>
      </c>
      <c r="J3990" s="5">
        <v>850</v>
      </c>
    </row>
    <row r="3991" s="2" customFormat="1" spans="1:10">
      <c r="A3991" s="6">
        <f>3989</f>
        <v>3989</v>
      </c>
      <c r="B3991" s="6" t="s">
        <v>10432</v>
      </c>
      <c r="C3991" s="6" t="s">
        <v>12</v>
      </c>
      <c r="D3991" s="6" t="s">
        <v>9344</v>
      </c>
      <c r="E3991" s="6" t="s">
        <v>10355</v>
      </c>
      <c r="F3991" s="6" t="s">
        <v>10433</v>
      </c>
      <c r="G3991" s="6" t="s">
        <v>16</v>
      </c>
      <c r="H3991" s="5">
        <v>3</v>
      </c>
      <c r="I3991" s="6" t="s">
        <v>10434</v>
      </c>
      <c r="J3991" s="5">
        <v>630</v>
      </c>
    </row>
    <row r="3992" s="2" customFormat="1" ht="27" spans="1:10">
      <c r="A3992" s="6">
        <f>3990</f>
        <v>3990</v>
      </c>
      <c r="B3992" s="6" t="s">
        <v>10435</v>
      </c>
      <c r="C3992" s="6" t="s">
        <v>12</v>
      </c>
      <c r="D3992" s="6" t="s">
        <v>9344</v>
      </c>
      <c r="E3992" s="6" t="s">
        <v>10355</v>
      </c>
      <c r="F3992" s="6" t="s">
        <v>10436</v>
      </c>
      <c r="G3992" s="6" t="s">
        <v>16</v>
      </c>
      <c r="H3992" s="5">
        <v>5</v>
      </c>
      <c r="I3992" s="6" t="s">
        <v>10437</v>
      </c>
      <c r="J3992" s="5">
        <v>500</v>
      </c>
    </row>
    <row r="3993" s="2" customFormat="1" spans="1:10">
      <c r="A3993" s="6">
        <f>3991</f>
        <v>3991</v>
      </c>
      <c r="B3993" s="6" t="s">
        <v>10438</v>
      </c>
      <c r="C3993" s="6" t="s">
        <v>12</v>
      </c>
      <c r="D3993" s="6" t="s">
        <v>9344</v>
      </c>
      <c r="E3993" s="6" t="s">
        <v>10355</v>
      </c>
      <c r="F3993" s="6" t="s">
        <v>10439</v>
      </c>
      <c r="G3993" s="6" t="s">
        <v>16</v>
      </c>
      <c r="H3993" s="5">
        <v>3</v>
      </c>
      <c r="I3993" s="6" t="s">
        <v>10440</v>
      </c>
      <c r="J3993" s="5">
        <v>600</v>
      </c>
    </row>
    <row r="3994" s="2" customFormat="1" spans="1:10">
      <c r="A3994" s="6">
        <f>3992</f>
        <v>3992</v>
      </c>
      <c r="B3994" s="6" t="s">
        <v>10441</v>
      </c>
      <c r="C3994" s="6" t="s">
        <v>12</v>
      </c>
      <c r="D3994" s="6" t="s">
        <v>9344</v>
      </c>
      <c r="E3994" s="6" t="s">
        <v>10355</v>
      </c>
      <c r="F3994" s="6" t="s">
        <v>10442</v>
      </c>
      <c r="G3994" s="6" t="s">
        <v>16</v>
      </c>
      <c r="H3994" s="5">
        <v>1</v>
      </c>
      <c r="I3994" s="6" t="s">
        <v>10442</v>
      </c>
      <c r="J3994" s="5">
        <v>248</v>
      </c>
    </row>
    <row r="3995" s="2" customFormat="1" ht="27" spans="1:10">
      <c r="A3995" s="6">
        <f>3993</f>
        <v>3993</v>
      </c>
      <c r="B3995" s="6" t="s">
        <v>10443</v>
      </c>
      <c r="C3995" s="6" t="s">
        <v>12</v>
      </c>
      <c r="D3995" s="6" t="s">
        <v>9344</v>
      </c>
      <c r="E3995" s="6" t="s">
        <v>10355</v>
      </c>
      <c r="F3995" s="6" t="s">
        <v>10444</v>
      </c>
      <c r="G3995" s="6" t="s">
        <v>16</v>
      </c>
      <c r="H3995" s="5">
        <v>4</v>
      </c>
      <c r="I3995" s="6" t="s">
        <v>10445</v>
      </c>
      <c r="J3995" s="5">
        <v>760</v>
      </c>
    </row>
    <row r="3996" s="2" customFormat="1" spans="1:10">
      <c r="A3996" s="6">
        <f>3994</f>
        <v>3994</v>
      </c>
      <c r="B3996" s="6" t="s">
        <v>10446</v>
      </c>
      <c r="C3996" s="6" t="s">
        <v>12</v>
      </c>
      <c r="D3996" s="6" t="s">
        <v>9344</v>
      </c>
      <c r="E3996" s="6" t="s">
        <v>10355</v>
      </c>
      <c r="F3996" s="6" t="s">
        <v>10447</v>
      </c>
      <c r="G3996" s="6" t="s">
        <v>16</v>
      </c>
      <c r="H3996" s="5">
        <v>2</v>
      </c>
      <c r="I3996" s="6" t="s">
        <v>10448</v>
      </c>
      <c r="J3996" s="5">
        <v>470</v>
      </c>
    </row>
    <row r="3997" s="2" customFormat="1" spans="1:10">
      <c r="A3997" s="6">
        <f>3995</f>
        <v>3995</v>
      </c>
      <c r="B3997" s="6" t="s">
        <v>10449</v>
      </c>
      <c r="C3997" s="6" t="s">
        <v>12</v>
      </c>
      <c r="D3997" s="6" t="s">
        <v>9344</v>
      </c>
      <c r="E3997" s="6" t="s">
        <v>10355</v>
      </c>
      <c r="F3997" s="6" t="s">
        <v>10450</v>
      </c>
      <c r="G3997" s="6" t="s">
        <v>16</v>
      </c>
      <c r="H3997" s="5">
        <v>1</v>
      </c>
      <c r="I3997" s="6" t="s">
        <v>10450</v>
      </c>
      <c r="J3997" s="5">
        <v>248</v>
      </c>
    </row>
    <row r="3998" s="2" customFormat="1" ht="27" spans="1:10">
      <c r="A3998" s="6">
        <f>3996</f>
        <v>3996</v>
      </c>
      <c r="B3998" s="6" t="s">
        <v>10451</v>
      </c>
      <c r="C3998" s="6" t="s">
        <v>12</v>
      </c>
      <c r="D3998" s="6" t="s">
        <v>9344</v>
      </c>
      <c r="E3998" s="6" t="s">
        <v>10355</v>
      </c>
      <c r="F3998" s="6" t="s">
        <v>10452</v>
      </c>
      <c r="G3998" s="6" t="s">
        <v>16</v>
      </c>
      <c r="H3998" s="5">
        <v>5</v>
      </c>
      <c r="I3998" s="6" t="s">
        <v>10453</v>
      </c>
      <c r="J3998" s="5">
        <v>860</v>
      </c>
    </row>
    <row r="3999" s="2" customFormat="1" spans="1:10">
      <c r="A3999" s="6">
        <f>3997</f>
        <v>3997</v>
      </c>
      <c r="B3999" s="6" t="s">
        <v>10454</v>
      </c>
      <c r="C3999" s="6" t="s">
        <v>12</v>
      </c>
      <c r="D3999" s="6" t="s">
        <v>9344</v>
      </c>
      <c r="E3999" s="6" t="s">
        <v>10355</v>
      </c>
      <c r="F3999" s="6" t="s">
        <v>10455</v>
      </c>
      <c r="G3999" s="6" t="s">
        <v>16</v>
      </c>
      <c r="H3999" s="5">
        <v>1</v>
      </c>
      <c r="I3999" s="6" t="s">
        <v>10455</v>
      </c>
      <c r="J3999" s="5">
        <v>245</v>
      </c>
    </row>
    <row r="4000" s="2" customFormat="1" spans="1:10">
      <c r="A4000" s="6">
        <f>3998</f>
        <v>3998</v>
      </c>
      <c r="B4000" s="6" t="s">
        <v>10456</v>
      </c>
      <c r="C4000" s="6" t="s">
        <v>12</v>
      </c>
      <c r="D4000" s="6" t="s">
        <v>9344</v>
      </c>
      <c r="E4000" s="6" t="s">
        <v>10355</v>
      </c>
      <c r="F4000" s="6" t="s">
        <v>10457</v>
      </c>
      <c r="G4000" s="6" t="s">
        <v>16</v>
      </c>
      <c r="H4000" s="5">
        <v>1</v>
      </c>
      <c r="I4000" s="6" t="s">
        <v>10457</v>
      </c>
      <c r="J4000" s="5">
        <v>260</v>
      </c>
    </row>
    <row r="4001" s="2" customFormat="1" spans="1:10">
      <c r="A4001" s="6">
        <f>3999</f>
        <v>3999</v>
      </c>
      <c r="B4001" s="6" t="s">
        <v>10458</v>
      </c>
      <c r="C4001" s="6" t="s">
        <v>12</v>
      </c>
      <c r="D4001" s="6" t="s">
        <v>9344</v>
      </c>
      <c r="E4001" s="6" t="s">
        <v>10355</v>
      </c>
      <c r="F4001" s="6" t="s">
        <v>10459</v>
      </c>
      <c r="G4001" s="6" t="s">
        <v>16</v>
      </c>
      <c r="H4001" s="5">
        <v>3</v>
      </c>
      <c r="I4001" s="6" t="s">
        <v>10460</v>
      </c>
      <c r="J4001" s="5">
        <v>765</v>
      </c>
    </row>
    <row r="4002" s="2" customFormat="1" spans="1:10">
      <c r="A4002" s="6">
        <f>4000</f>
        <v>4000</v>
      </c>
      <c r="B4002" s="6" t="s">
        <v>10461</v>
      </c>
      <c r="C4002" s="6" t="s">
        <v>12</v>
      </c>
      <c r="D4002" s="6" t="s">
        <v>9344</v>
      </c>
      <c r="E4002" s="6" t="s">
        <v>10355</v>
      </c>
      <c r="F4002" s="6" t="s">
        <v>10462</v>
      </c>
      <c r="G4002" s="6" t="s">
        <v>16</v>
      </c>
      <c r="H4002" s="5">
        <v>1</v>
      </c>
      <c r="I4002" s="6" t="s">
        <v>10462</v>
      </c>
      <c r="J4002" s="5">
        <v>245</v>
      </c>
    </row>
    <row r="4003" s="2" customFormat="1" ht="27" spans="1:10">
      <c r="A4003" s="6">
        <f>4001</f>
        <v>4001</v>
      </c>
      <c r="B4003" s="6" t="s">
        <v>10463</v>
      </c>
      <c r="C4003" s="6" t="s">
        <v>12</v>
      </c>
      <c r="D4003" s="6" t="s">
        <v>9344</v>
      </c>
      <c r="E4003" s="6" t="s">
        <v>10355</v>
      </c>
      <c r="F4003" s="6" t="s">
        <v>10464</v>
      </c>
      <c r="G4003" s="6" t="s">
        <v>16</v>
      </c>
      <c r="H4003" s="5">
        <v>5</v>
      </c>
      <c r="I4003" s="6" t="s">
        <v>10465</v>
      </c>
      <c r="J4003" s="5">
        <v>850</v>
      </c>
    </row>
    <row r="4004" s="2" customFormat="1" spans="1:10">
      <c r="A4004" s="6">
        <f>4002</f>
        <v>4002</v>
      </c>
      <c r="B4004" s="6" t="s">
        <v>10466</v>
      </c>
      <c r="C4004" s="6" t="s">
        <v>12</v>
      </c>
      <c r="D4004" s="6" t="s">
        <v>9344</v>
      </c>
      <c r="E4004" s="6" t="s">
        <v>10355</v>
      </c>
      <c r="F4004" s="6" t="s">
        <v>10467</v>
      </c>
      <c r="G4004" s="6" t="s">
        <v>16</v>
      </c>
      <c r="H4004" s="5">
        <v>1</v>
      </c>
      <c r="I4004" s="6" t="s">
        <v>10467</v>
      </c>
      <c r="J4004" s="5">
        <v>245</v>
      </c>
    </row>
    <row r="4005" s="2" customFormat="1" spans="1:10">
      <c r="A4005" s="6">
        <f>4003</f>
        <v>4003</v>
      </c>
      <c r="B4005" s="6" t="s">
        <v>10468</v>
      </c>
      <c r="C4005" s="6" t="s">
        <v>12</v>
      </c>
      <c r="D4005" s="6" t="s">
        <v>9344</v>
      </c>
      <c r="E4005" s="6" t="s">
        <v>10355</v>
      </c>
      <c r="F4005" s="6" t="s">
        <v>10469</v>
      </c>
      <c r="G4005" s="6" t="s">
        <v>16</v>
      </c>
      <c r="H4005" s="5">
        <v>2</v>
      </c>
      <c r="I4005" s="6" t="s">
        <v>10470</v>
      </c>
      <c r="J4005" s="5">
        <v>443</v>
      </c>
    </row>
    <row r="4006" s="2" customFormat="1" ht="27" spans="1:10">
      <c r="A4006" s="6">
        <f>4004</f>
        <v>4004</v>
      </c>
      <c r="B4006" s="6" t="s">
        <v>10471</v>
      </c>
      <c r="C4006" s="6" t="s">
        <v>12</v>
      </c>
      <c r="D4006" s="6" t="s">
        <v>9344</v>
      </c>
      <c r="E4006" s="6" t="s">
        <v>10355</v>
      </c>
      <c r="F4006" s="6" t="s">
        <v>10472</v>
      </c>
      <c r="G4006" s="6" t="s">
        <v>16</v>
      </c>
      <c r="H4006" s="5">
        <v>6</v>
      </c>
      <c r="I4006" s="6" t="s">
        <v>10473</v>
      </c>
      <c r="J4006" s="5">
        <v>1020</v>
      </c>
    </row>
    <row r="4007" s="2" customFormat="1" spans="1:10">
      <c r="A4007" s="6">
        <f>4005</f>
        <v>4005</v>
      </c>
      <c r="B4007" s="6" t="s">
        <v>10474</v>
      </c>
      <c r="C4007" s="6" t="s">
        <v>12</v>
      </c>
      <c r="D4007" s="6" t="s">
        <v>9344</v>
      </c>
      <c r="E4007" s="6" t="s">
        <v>10355</v>
      </c>
      <c r="F4007" s="6" t="s">
        <v>10475</v>
      </c>
      <c r="G4007" s="6" t="s">
        <v>16</v>
      </c>
      <c r="H4007" s="5">
        <v>3</v>
      </c>
      <c r="I4007" s="6" t="s">
        <v>10476</v>
      </c>
      <c r="J4007" s="5">
        <v>865</v>
      </c>
    </row>
    <row r="4008" s="2" customFormat="1" spans="1:10">
      <c r="A4008" s="6">
        <f>4006</f>
        <v>4006</v>
      </c>
      <c r="B4008" s="6" t="s">
        <v>10477</v>
      </c>
      <c r="C4008" s="6" t="s">
        <v>12</v>
      </c>
      <c r="D4008" s="6" t="s">
        <v>9344</v>
      </c>
      <c r="E4008" s="6" t="s">
        <v>10355</v>
      </c>
      <c r="F4008" s="6" t="s">
        <v>10478</v>
      </c>
      <c r="G4008" s="6" t="s">
        <v>16</v>
      </c>
      <c r="H4008" s="5">
        <v>1</v>
      </c>
      <c r="I4008" s="6" t="s">
        <v>10478</v>
      </c>
      <c r="J4008" s="5">
        <v>245</v>
      </c>
    </row>
    <row r="4009" s="2" customFormat="1" spans="1:10">
      <c r="A4009" s="6">
        <f>4007</f>
        <v>4007</v>
      </c>
      <c r="B4009" s="6" t="s">
        <v>10479</v>
      </c>
      <c r="C4009" s="6" t="s">
        <v>12</v>
      </c>
      <c r="D4009" s="6" t="s">
        <v>9344</v>
      </c>
      <c r="E4009" s="6" t="s">
        <v>10355</v>
      </c>
      <c r="F4009" s="6" t="s">
        <v>10480</v>
      </c>
      <c r="G4009" s="6" t="s">
        <v>16</v>
      </c>
      <c r="H4009" s="5">
        <v>2</v>
      </c>
      <c r="I4009" s="6" t="s">
        <v>10481</v>
      </c>
      <c r="J4009" s="5">
        <v>490</v>
      </c>
    </row>
    <row r="4010" s="2" customFormat="1" spans="1:10">
      <c r="A4010" s="6">
        <f>4008</f>
        <v>4008</v>
      </c>
      <c r="B4010" s="6" t="s">
        <v>10482</v>
      </c>
      <c r="C4010" s="6" t="s">
        <v>12</v>
      </c>
      <c r="D4010" s="6" t="s">
        <v>9344</v>
      </c>
      <c r="E4010" s="6" t="s">
        <v>10355</v>
      </c>
      <c r="F4010" s="6" t="s">
        <v>10483</v>
      </c>
      <c r="G4010" s="6" t="s">
        <v>16</v>
      </c>
      <c r="H4010" s="5">
        <v>1</v>
      </c>
      <c r="I4010" s="6" t="s">
        <v>10483</v>
      </c>
      <c r="J4010" s="5">
        <v>260</v>
      </c>
    </row>
    <row r="4011" s="2" customFormat="1" spans="1:10">
      <c r="A4011" s="6">
        <f>4009</f>
        <v>4009</v>
      </c>
      <c r="B4011" s="6" t="s">
        <v>10484</v>
      </c>
      <c r="C4011" s="6" t="s">
        <v>12</v>
      </c>
      <c r="D4011" s="6" t="s">
        <v>9344</v>
      </c>
      <c r="E4011" s="6" t="s">
        <v>10355</v>
      </c>
      <c r="F4011" s="6" t="s">
        <v>10485</v>
      </c>
      <c r="G4011" s="6" t="s">
        <v>16</v>
      </c>
      <c r="H4011" s="5">
        <v>1</v>
      </c>
      <c r="I4011" s="6" t="s">
        <v>10485</v>
      </c>
      <c r="J4011" s="5">
        <v>245</v>
      </c>
    </row>
    <row r="4012" s="2" customFormat="1" spans="1:10">
      <c r="A4012" s="6">
        <f>4010</f>
        <v>4010</v>
      </c>
      <c r="B4012" s="6" t="s">
        <v>10486</v>
      </c>
      <c r="C4012" s="6" t="s">
        <v>12</v>
      </c>
      <c r="D4012" s="6" t="s">
        <v>9344</v>
      </c>
      <c r="E4012" s="6" t="s">
        <v>10355</v>
      </c>
      <c r="F4012" s="6" t="s">
        <v>10487</v>
      </c>
      <c r="G4012" s="6" t="s">
        <v>16</v>
      </c>
      <c r="H4012" s="5">
        <v>3</v>
      </c>
      <c r="I4012" s="6" t="s">
        <v>10488</v>
      </c>
      <c r="J4012" s="5">
        <v>690</v>
      </c>
    </row>
    <row r="4013" s="2" customFormat="1" ht="27" spans="1:10">
      <c r="A4013" s="6">
        <f>4011</f>
        <v>4011</v>
      </c>
      <c r="B4013" s="6" t="s">
        <v>10489</v>
      </c>
      <c r="C4013" s="6" t="s">
        <v>12</v>
      </c>
      <c r="D4013" s="6" t="s">
        <v>9344</v>
      </c>
      <c r="E4013" s="6" t="s">
        <v>10355</v>
      </c>
      <c r="F4013" s="6" t="s">
        <v>10490</v>
      </c>
      <c r="G4013" s="6" t="s">
        <v>16</v>
      </c>
      <c r="H4013" s="5">
        <v>4</v>
      </c>
      <c r="I4013" s="6" t="s">
        <v>10491</v>
      </c>
      <c r="J4013" s="5">
        <v>940</v>
      </c>
    </row>
    <row r="4014" s="2" customFormat="1" ht="27" spans="1:10">
      <c r="A4014" s="6">
        <f>4012</f>
        <v>4012</v>
      </c>
      <c r="B4014" s="6" t="s">
        <v>10492</v>
      </c>
      <c r="C4014" s="6" t="s">
        <v>12</v>
      </c>
      <c r="D4014" s="6" t="s">
        <v>9344</v>
      </c>
      <c r="E4014" s="6" t="s">
        <v>10355</v>
      </c>
      <c r="F4014" s="6" t="s">
        <v>10493</v>
      </c>
      <c r="G4014" s="6" t="s">
        <v>16</v>
      </c>
      <c r="H4014" s="5">
        <v>4</v>
      </c>
      <c r="I4014" s="6" t="s">
        <v>10494</v>
      </c>
      <c r="J4014" s="5">
        <v>680</v>
      </c>
    </row>
    <row r="4015" s="2" customFormat="1" spans="1:10">
      <c r="A4015" s="6">
        <f>4013</f>
        <v>4013</v>
      </c>
      <c r="B4015" s="6" t="s">
        <v>10495</v>
      </c>
      <c r="C4015" s="6" t="s">
        <v>12</v>
      </c>
      <c r="D4015" s="6" t="s">
        <v>9344</v>
      </c>
      <c r="E4015" s="6" t="s">
        <v>10355</v>
      </c>
      <c r="F4015" s="6" t="s">
        <v>10496</v>
      </c>
      <c r="G4015" s="6" t="s">
        <v>16</v>
      </c>
      <c r="H4015" s="5">
        <v>1</v>
      </c>
      <c r="I4015" s="6" t="s">
        <v>10496</v>
      </c>
      <c r="J4015" s="5">
        <v>260</v>
      </c>
    </row>
    <row r="4016" s="2" customFormat="1" spans="1:10">
      <c r="A4016" s="6">
        <f>4014</f>
        <v>4014</v>
      </c>
      <c r="B4016" s="6" t="s">
        <v>10497</v>
      </c>
      <c r="C4016" s="6" t="s">
        <v>12</v>
      </c>
      <c r="D4016" s="6" t="s">
        <v>9344</v>
      </c>
      <c r="E4016" s="6" t="s">
        <v>10355</v>
      </c>
      <c r="F4016" s="6" t="s">
        <v>10498</v>
      </c>
      <c r="G4016" s="6" t="s">
        <v>16</v>
      </c>
      <c r="H4016" s="5">
        <v>3</v>
      </c>
      <c r="I4016" s="6" t="s">
        <v>10499</v>
      </c>
      <c r="J4016" s="5">
        <v>765</v>
      </c>
    </row>
    <row r="4017" s="2" customFormat="1" spans="1:10">
      <c r="A4017" s="6">
        <f>4015</f>
        <v>4015</v>
      </c>
      <c r="B4017" s="6" t="s">
        <v>10500</v>
      </c>
      <c r="C4017" s="6" t="s">
        <v>12</v>
      </c>
      <c r="D4017" s="6" t="s">
        <v>9344</v>
      </c>
      <c r="E4017" s="6" t="s">
        <v>10355</v>
      </c>
      <c r="F4017" s="6" t="s">
        <v>10501</v>
      </c>
      <c r="G4017" s="6" t="s">
        <v>16</v>
      </c>
      <c r="H4017" s="5">
        <v>1</v>
      </c>
      <c r="I4017" s="6" t="s">
        <v>10501</v>
      </c>
      <c r="J4017" s="5">
        <v>360</v>
      </c>
    </row>
    <row r="4018" s="2" customFormat="1" ht="27" spans="1:10">
      <c r="A4018" s="6">
        <f>4016</f>
        <v>4016</v>
      </c>
      <c r="B4018" s="6" t="s">
        <v>10502</v>
      </c>
      <c r="C4018" s="6" t="s">
        <v>12</v>
      </c>
      <c r="D4018" s="6" t="s">
        <v>9344</v>
      </c>
      <c r="E4018" s="6" t="s">
        <v>10355</v>
      </c>
      <c r="F4018" s="6" t="s">
        <v>10503</v>
      </c>
      <c r="G4018" s="6" t="s">
        <v>16</v>
      </c>
      <c r="H4018" s="5">
        <v>4</v>
      </c>
      <c r="I4018" s="6" t="s">
        <v>10504</v>
      </c>
      <c r="J4018" s="5">
        <v>790</v>
      </c>
    </row>
    <row r="4019" s="2" customFormat="1" spans="1:10">
      <c r="A4019" s="6">
        <f>4017</f>
        <v>4017</v>
      </c>
      <c r="B4019" s="6" t="s">
        <v>10505</v>
      </c>
      <c r="C4019" s="6" t="s">
        <v>12</v>
      </c>
      <c r="D4019" s="6" t="s">
        <v>9344</v>
      </c>
      <c r="E4019" s="6" t="s">
        <v>10355</v>
      </c>
      <c r="F4019" s="6" t="s">
        <v>10506</v>
      </c>
      <c r="G4019" s="6" t="s">
        <v>16</v>
      </c>
      <c r="H4019" s="5">
        <v>1</v>
      </c>
      <c r="I4019" s="6" t="s">
        <v>10506</v>
      </c>
      <c r="J4019" s="5">
        <v>245</v>
      </c>
    </row>
    <row r="4020" s="2" customFormat="1" spans="1:10">
      <c r="A4020" s="6">
        <f>4018</f>
        <v>4018</v>
      </c>
      <c r="B4020" s="6" t="s">
        <v>10507</v>
      </c>
      <c r="C4020" s="6" t="s">
        <v>12</v>
      </c>
      <c r="D4020" s="6" t="s">
        <v>9344</v>
      </c>
      <c r="E4020" s="6" t="s">
        <v>10355</v>
      </c>
      <c r="F4020" s="6" t="s">
        <v>10508</v>
      </c>
      <c r="G4020" s="6" t="s">
        <v>16</v>
      </c>
      <c r="H4020" s="5">
        <v>1</v>
      </c>
      <c r="I4020" s="6" t="s">
        <v>10508</v>
      </c>
      <c r="J4020" s="5">
        <v>245</v>
      </c>
    </row>
    <row r="4021" s="2" customFormat="1" spans="1:10">
      <c r="A4021" s="6">
        <f>4019</f>
        <v>4019</v>
      </c>
      <c r="B4021" s="6" t="s">
        <v>10509</v>
      </c>
      <c r="C4021" s="6" t="s">
        <v>12</v>
      </c>
      <c r="D4021" s="6" t="s">
        <v>9344</v>
      </c>
      <c r="E4021" s="6" t="s">
        <v>10355</v>
      </c>
      <c r="F4021" s="6" t="s">
        <v>10510</v>
      </c>
      <c r="G4021" s="6" t="s">
        <v>16</v>
      </c>
      <c r="H4021" s="5">
        <v>1</v>
      </c>
      <c r="I4021" s="6" t="s">
        <v>10510</v>
      </c>
      <c r="J4021" s="5">
        <v>245</v>
      </c>
    </row>
    <row r="4022" s="2" customFormat="1" ht="27" spans="1:10">
      <c r="A4022" s="6">
        <f>4020</f>
        <v>4020</v>
      </c>
      <c r="B4022" s="6" t="s">
        <v>10511</v>
      </c>
      <c r="C4022" s="6" t="s">
        <v>12</v>
      </c>
      <c r="D4022" s="6" t="s">
        <v>9344</v>
      </c>
      <c r="E4022" s="6" t="s">
        <v>10355</v>
      </c>
      <c r="F4022" s="6" t="s">
        <v>10512</v>
      </c>
      <c r="G4022" s="6" t="s">
        <v>16</v>
      </c>
      <c r="H4022" s="5">
        <v>5</v>
      </c>
      <c r="I4022" s="6" t="s">
        <v>10513</v>
      </c>
      <c r="J4022" s="5">
        <v>500</v>
      </c>
    </row>
    <row r="4023" s="2" customFormat="1" spans="1:10">
      <c r="A4023" s="6">
        <f>4021</f>
        <v>4021</v>
      </c>
      <c r="B4023" s="6" t="s">
        <v>10514</v>
      </c>
      <c r="C4023" s="6" t="s">
        <v>12</v>
      </c>
      <c r="D4023" s="6" t="s">
        <v>9344</v>
      </c>
      <c r="E4023" s="6" t="s">
        <v>10355</v>
      </c>
      <c r="F4023" s="6" t="s">
        <v>10515</v>
      </c>
      <c r="G4023" s="6" t="s">
        <v>16</v>
      </c>
      <c r="H4023" s="5">
        <v>1</v>
      </c>
      <c r="I4023" s="6" t="s">
        <v>10515</v>
      </c>
      <c r="J4023" s="5">
        <v>248</v>
      </c>
    </row>
    <row r="4024" s="2" customFormat="1" spans="1:10">
      <c r="A4024" s="6">
        <f>4022</f>
        <v>4022</v>
      </c>
      <c r="B4024" s="6" t="s">
        <v>10516</v>
      </c>
      <c r="C4024" s="6" t="s">
        <v>12</v>
      </c>
      <c r="D4024" s="6" t="s">
        <v>9344</v>
      </c>
      <c r="E4024" s="6" t="s">
        <v>10355</v>
      </c>
      <c r="F4024" s="6" t="s">
        <v>10517</v>
      </c>
      <c r="G4024" s="6" t="s">
        <v>16</v>
      </c>
      <c r="H4024" s="5">
        <v>3</v>
      </c>
      <c r="I4024" s="6" t="s">
        <v>10518</v>
      </c>
      <c r="J4024" s="5">
        <v>570</v>
      </c>
    </row>
    <row r="4025" s="2" customFormat="1" spans="1:10">
      <c r="A4025" s="6">
        <f>4023</f>
        <v>4023</v>
      </c>
      <c r="B4025" s="6" t="s">
        <v>10519</v>
      </c>
      <c r="C4025" s="6" t="s">
        <v>12</v>
      </c>
      <c r="D4025" s="6" t="s">
        <v>9344</v>
      </c>
      <c r="E4025" s="6" t="s">
        <v>10355</v>
      </c>
      <c r="F4025" s="6" t="s">
        <v>10520</v>
      </c>
      <c r="G4025" s="6" t="s">
        <v>16</v>
      </c>
      <c r="H4025" s="5">
        <v>2</v>
      </c>
      <c r="I4025" s="6" t="s">
        <v>10521</v>
      </c>
      <c r="J4025" s="5">
        <v>610</v>
      </c>
    </row>
    <row r="4026" s="2" customFormat="1" spans="1:10">
      <c r="A4026" s="6">
        <f>4024</f>
        <v>4024</v>
      </c>
      <c r="B4026" s="6" t="s">
        <v>10522</v>
      </c>
      <c r="C4026" s="6" t="s">
        <v>12</v>
      </c>
      <c r="D4026" s="6" t="s">
        <v>9344</v>
      </c>
      <c r="E4026" s="6" t="s">
        <v>10355</v>
      </c>
      <c r="F4026" s="6" t="s">
        <v>10523</v>
      </c>
      <c r="G4026" s="6" t="s">
        <v>16</v>
      </c>
      <c r="H4026" s="5">
        <v>2</v>
      </c>
      <c r="I4026" s="6" t="s">
        <v>10524</v>
      </c>
      <c r="J4026" s="5">
        <v>510</v>
      </c>
    </row>
    <row r="4027" s="2" customFormat="1" spans="1:10">
      <c r="A4027" s="6">
        <f>4025</f>
        <v>4025</v>
      </c>
      <c r="B4027" s="6" t="s">
        <v>10525</v>
      </c>
      <c r="C4027" s="6" t="s">
        <v>12</v>
      </c>
      <c r="D4027" s="6" t="s">
        <v>9344</v>
      </c>
      <c r="E4027" s="6" t="s">
        <v>10355</v>
      </c>
      <c r="F4027" s="6" t="s">
        <v>10526</v>
      </c>
      <c r="G4027" s="6" t="s">
        <v>16</v>
      </c>
      <c r="H4027" s="5">
        <v>1</v>
      </c>
      <c r="I4027" s="6" t="s">
        <v>10526</v>
      </c>
      <c r="J4027" s="5">
        <v>248</v>
      </c>
    </row>
    <row r="4028" s="2" customFormat="1" spans="1:10">
      <c r="A4028" s="6">
        <f>4026</f>
        <v>4026</v>
      </c>
      <c r="B4028" s="6" t="s">
        <v>10527</v>
      </c>
      <c r="C4028" s="6" t="s">
        <v>12</v>
      </c>
      <c r="D4028" s="6" t="s">
        <v>9344</v>
      </c>
      <c r="E4028" s="6" t="s">
        <v>10355</v>
      </c>
      <c r="F4028" s="6" t="s">
        <v>10528</v>
      </c>
      <c r="G4028" s="6" t="s">
        <v>16</v>
      </c>
      <c r="H4028" s="5">
        <v>1</v>
      </c>
      <c r="I4028" s="6" t="s">
        <v>10528</v>
      </c>
      <c r="J4028" s="5">
        <v>365</v>
      </c>
    </row>
    <row r="4029" s="2" customFormat="1" ht="27" spans="1:10">
      <c r="A4029" s="6">
        <f>4027</f>
        <v>4027</v>
      </c>
      <c r="B4029" s="6" t="s">
        <v>10529</v>
      </c>
      <c r="C4029" s="6" t="s">
        <v>12</v>
      </c>
      <c r="D4029" s="6" t="s">
        <v>9344</v>
      </c>
      <c r="E4029" s="6" t="s">
        <v>10355</v>
      </c>
      <c r="F4029" s="6" t="s">
        <v>10530</v>
      </c>
      <c r="G4029" s="6" t="s">
        <v>16</v>
      </c>
      <c r="H4029" s="5">
        <v>4</v>
      </c>
      <c r="I4029" s="6" t="s">
        <v>10531</v>
      </c>
      <c r="J4029" s="5">
        <v>1040</v>
      </c>
    </row>
    <row r="4030" s="2" customFormat="1" spans="1:10">
      <c r="A4030" s="6">
        <f>4028</f>
        <v>4028</v>
      </c>
      <c r="B4030" s="6" t="s">
        <v>10532</v>
      </c>
      <c r="C4030" s="6" t="s">
        <v>12</v>
      </c>
      <c r="D4030" s="6" t="s">
        <v>9344</v>
      </c>
      <c r="E4030" s="6" t="s">
        <v>10355</v>
      </c>
      <c r="F4030" s="6" t="s">
        <v>10533</v>
      </c>
      <c r="G4030" s="6" t="s">
        <v>16</v>
      </c>
      <c r="H4030" s="5">
        <v>2</v>
      </c>
      <c r="I4030" s="6" t="s">
        <v>10534</v>
      </c>
      <c r="J4030" s="5">
        <v>490</v>
      </c>
    </row>
    <row r="4031" s="2" customFormat="1" ht="27" spans="1:10">
      <c r="A4031" s="6">
        <f>4029</f>
        <v>4029</v>
      </c>
      <c r="B4031" s="6" t="s">
        <v>10535</v>
      </c>
      <c r="C4031" s="6" t="s">
        <v>12</v>
      </c>
      <c r="D4031" s="6" t="s">
        <v>9344</v>
      </c>
      <c r="E4031" s="6" t="s">
        <v>10355</v>
      </c>
      <c r="F4031" s="6" t="s">
        <v>10536</v>
      </c>
      <c r="G4031" s="6" t="s">
        <v>16</v>
      </c>
      <c r="H4031" s="5">
        <v>4</v>
      </c>
      <c r="I4031" s="6" t="s">
        <v>10537</v>
      </c>
      <c r="J4031" s="5">
        <v>690</v>
      </c>
    </row>
    <row r="4032" s="2" customFormat="1" spans="1:10">
      <c r="A4032" s="6">
        <f>4030</f>
        <v>4030</v>
      </c>
      <c r="B4032" s="6" t="s">
        <v>10538</v>
      </c>
      <c r="C4032" s="6" t="s">
        <v>12</v>
      </c>
      <c r="D4032" s="6" t="s">
        <v>9344</v>
      </c>
      <c r="E4032" s="6" t="s">
        <v>10355</v>
      </c>
      <c r="F4032" s="6" t="s">
        <v>10539</v>
      </c>
      <c r="G4032" s="6" t="s">
        <v>16</v>
      </c>
      <c r="H4032" s="5">
        <v>3</v>
      </c>
      <c r="I4032" s="6" t="s">
        <v>10540</v>
      </c>
      <c r="J4032" s="5">
        <v>765</v>
      </c>
    </row>
    <row r="4033" s="2" customFormat="1" spans="1:10">
      <c r="A4033" s="6">
        <f>4031</f>
        <v>4031</v>
      </c>
      <c r="B4033" s="6" t="s">
        <v>10541</v>
      </c>
      <c r="C4033" s="6" t="s">
        <v>12</v>
      </c>
      <c r="D4033" s="6" t="s">
        <v>9344</v>
      </c>
      <c r="E4033" s="6" t="s">
        <v>10355</v>
      </c>
      <c r="F4033" s="6" t="s">
        <v>10542</v>
      </c>
      <c r="G4033" s="6" t="s">
        <v>16</v>
      </c>
      <c r="H4033" s="5">
        <v>3</v>
      </c>
      <c r="I4033" s="6" t="s">
        <v>10543</v>
      </c>
      <c r="J4033" s="5">
        <v>730</v>
      </c>
    </row>
    <row r="4034" s="2" customFormat="1" ht="27" spans="1:10">
      <c r="A4034" s="6">
        <f>4032</f>
        <v>4032</v>
      </c>
      <c r="B4034" s="6" t="s">
        <v>10544</v>
      </c>
      <c r="C4034" s="6" t="s">
        <v>12</v>
      </c>
      <c r="D4034" s="6" t="s">
        <v>9344</v>
      </c>
      <c r="E4034" s="6" t="s">
        <v>10355</v>
      </c>
      <c r="F4034" s="6" t="s">
        <v>10545</v>
      </c>
      <c r="G4034" s="6" t="s">
        <v>16</v>
      </c>
      <c r="H4034" s="5">
        <v>4</v>
      </c>
      <c r="I4034" s="6" t="s">
        <v>10546</v>
      </c>
      <c r="J4034" s="5">
        <v>680</v>
      </c>
    </row>
    <row r="4035" s="2" customFormat="1" spans="1:10">
      <c r="A4035" s="6">
        <f>4033</f>
        <v>4033</v>
      </c>
      <c r="B4035" s="6" t="s">
        <v>10547</v>
      </c>
      <c r="C4035" s="6" t="s">
        <v>12</v>
      </c>
      <c r="D4035" s="6" t="s">
        <v>9344</v>
      </c>
      <c r="E4035" s="6" t="s">
        <v>10355</v>
      </c>
      <c r="F4035" s="6" t="s">
        <v>10548</v>
      </c>
      <c r="G4035" s="6" t="s">
        <v>16</v>
      </c>
      <c r="H4035" s="5">
        <v>1</v>
      </c>
      <c r="I4035" s="6" t="s">
        <v>10548</v>
      </c>
      <c r="J4035" s="5">
        <v>248</v>
      </c>
    </row>
    <row r="4036" s="2" customFormat="1" spans="1:10">
      <c r="A4036" s="6">
        <f>4034</f>
        <v>4034</v>
      </c>
      <c r="B4036" s="6" t="s">
        <v>10549</v>
      </c>
      <c r="C4036" s="6" t="s">
        <v>12</v>
      </c>
      <c r="D4036" s="6" t="s">
        <v>9344</v>
      </c>
      <c r="E4036" s="6" t="s">
        <v>10355</v>
      </c>
      <c r="F4036" s="6" t="s">
        <v>10550</v>
      </c>
      <c r="G4036" s="6" t="s">
        <v>16</v>
      </c>
      <c r="H4036" s="5">
        <v>3</v>
      </c>
      <c r="I4036" s="6" t="s">
        <v>10551</v>
      </c>
      <c r="J4036" s="5">
        <v>780</v>
      </c>
    </row>
    <row r="4037" s="2" customFormat="1" spans="1:10">
      <c r="A4037" s="6">
        <f>4035</f>
        <v>4035</v>
      </c>
      <c r="B4037" s="6" t="s">
        <v>10552</v>
      </c>
      <c r="C4037" s="6" t="s">
        <v>12</v>
      </c>
      <c r="D4037" s="6" t="s">
        <v>9344</v>
      </c>
      <c r="E4037" s="6" t="s">
        <v>10553</v>
      </c>
      <c r="F4037" s="6" t="s">
        <v>10554</v>
      </c>
      <c r="G4037" s="6" t="s">
        <v>16</v>
      </c>
      <c r="H4037" s="5">
        <v>2</v>
      </c>
      <c r="I4037" s="6" t="s">
        <v>10555</v>
      </c>
      <c r="J4037" s="5">
        <v>820</v>
      </c>
    </row>
    <row r="4038" s="2" customFormat="1" spans="1:10">
      <c r="A4038" s="6">
        <f>4036</f>
        <v>4036</v>
      </c>
      <c r="B4038" s="6" t="s">
        <v>10556</v>
      </c>
      <c r="C4038" s="6" t="s">
        <v>12</v>
      </c>
      <c r="D4038" s="6" t="s">
        <v>9344</v>
      </c>
      <c r="E4038" s="6" t="s">
        <v>10553</v>
      </c>
      <c r="F4038" s="6" t="s">
        <v>10557</v>
      </c>
      <c r="G4038" s="6" t="s">
        <v>16</v>
      </c>
      <c r="H4038" s="5">
        <v>1</v>
      </c>
      <c r="I4038" s="6" t="s">
        <v>10557</v>
      </c>
      <c r="J4038" s="5">
        <v>540</v>
      </c>
    </row>
    <row r="4039" s="2" customFormat="1" ht="27" spans="1:10">
      <c r="A4039" s="6">
        <f>4037</f>
        <v>4037</v>
      </c>
      <c r="B4039" s="6" t="s">
        <v>10558</v>
      </c>
      <c r="C4039" s="6" t="s">
        <v>12</v>
      </c>
      <c r="D4039" s="6" t="s">
        <v>9344</v>
      </c>
      <c r="E4039" s="6" t="s">
        <v>10553</v>
      </c>
      <c r="F4039" s="6" t="s">
        <v>10559</v>
      </c>
      <c r="G4039" s="6" t="s">
        <v>16</v>
      </c>
      <c r="H4039" s="5">
        <v>4</v>
      </c>
      <c r="I4039" s="6" t="s">
        <v>10560</v>
      </c>
      <c r="J4039" s="5">
        <v>660</v>
      </c>
    </row>
    <row r="4040" s="2" customFormat="1" spans="1:10">
      <c r="A4040" s="6">
        <f>4038</f>
        <v>4038</v>
      </c>
      <c r="B4040" s="6" t="s">
        <v>10561</v>
      </c>
      <c r="C4040" s="6" t="s">
        <v>12</v>
      </c>
      <c r="D4040" s="6" t="s">
        <v>9344</v>
      </c>
      <c r="E4040" s="6" t="s">
        <v>10553</v>
      </c>
      <c r="F4040" s="6" t="s">
        <v>10562</v>
      </c>
      <c r="G4040" s="6" t="s">
        <v>16</v>
      </c>
      <c r="H4040" s="5">
        <v>1</v>
      </c>
      <c r="I4040" s="6" t="s">
        <v>10562</v>
      </c>
      <c r="J4040" s="5">
        <v>280</v>
      </c>
    </row>
    <row r="4041" s="2" customFormat="1" ht="27" spans="1:10">
      <c r="A4041" s="6">
        <f>4039</f>
        <v>4039</v>
      </c>
      <c r="B4041" s="6" t="s">
        <v>10563</v>
      </c>
      <c r="C4041" s="6" t="s">
        <v>12</v>
      </c>
      <c r="D4041" s="6" t="s">
        <v>9344</v>
      </c>
      <c r="E4041" s="6" t="s">
        <v>10553</v>
      </c>
      <c r="F4041" s="6" t="s">
        <v>10564</v>
      </c>
      <c r="G4041" s="6" t="s">
        <v>16</v>
      </c>
      <c r="H4041" s="5">
        <v>5</v>
      </c>
      <c r="I4041" s="6" t="s">
        <v>10565</v>
      </c>
      <c r="J4041" s="5">
        <v>900</v>
      </c>
    </row>
    <row r="4042" s="2" customFormat="1" spans="1:10">
      <c r="A4042" s="6">
        <f>4040</f>
        <v>4040</v>
      </c>
      <c r="B4042" s="6" t="s">
        <v>10566</v>
      </c>
      <c r="C4042" s="6" t="s">
        <v>12</v>
      </c>
      <c r="D4042" s="6" t="s">
        <v>9344</v>
      </c>
      <c r="E4042" s="6" t="s">
        <v>10553</v>
      </c>
      <c r="F4042" s="6" t="s">
        <v>10567</v>
      </c>
      <c r="G4042" s="6" t="s">
        <v>16</v>
      </c>
      <c r="H4042" s="5">
        <v>2</v>
      </c>
      <c r="I4042" s="6" t="s">
        <v>10568</v>
      </c>
      <c r="J4042" s="5">
        <v>620</v>
      </c>
    </row>
    <row r="4043" s="2" customFormat="1" spans="1:10">
      <c r="A4043" s="6">
        <f>4041</f>
        <v>4041</v>
      </c>
      <c r="B4043" s="6" t="s">
        <v>10569</v>
      </c>
      <c r="C4043" s="6" t="s">
        <v>12</v>
      </c>
      <c r="D4043" s="6" t="s">
        <v>9344</v>
      </c>
      <c r="E4043" s="6" t="s">
        <v>10553</v>
      </c>
      <c r="F4043" s="6" t="s">
        <v>10570</v>
      </c>
      <c r="G4043" s="6" t="s">
        <v>16</v>
      </c>
      <c r="H4043" s="5">
        <v>3</v>
      </c>
      <c r="I4043" s="6" t="s">
        <v>10571</v>
      </c>
      <c r="J4043" s="5">
        <v>680</v>
      </c>
    </row>
    <row r="4044" s="2" customFormat="1" spans="1:10">
      <c r="A4044" s="6">
        <f>4042</f>
        <v>4042</v>
      </c>
      <c r="B4044" s="6" t="s">
        <v>10572</v>
      </c>
      <c r="C4044" s="6" t="s">
        <v>12</v>
      </c>
      <c r="D4044" s="6" t="s">
        <v>9344</v>
      </c>
      <c r="E4044" s="6" t="s">
        <v>10553</v>
      </c>
      <c r="F4044" s="6" t="s">
        <v>10573</v>
      </c>
      <c r="G4044" s="6" t="s">
        <v>16</v>
      </c>
      <c r="H4044" s="5">
        <v>3</v>
      </c>
      <c r="I4044" s="6" t="s">
        <v>10574</v>
      </c>
      <c r="J4044" s="5">
        <v>820</v>
      </c>
    </row>
    <row r="4045" s="2" customFormat="1" ht="27" spans="1:10">
      <c r="A4045" s="6">
        <f>4043</f>
        <v>4043</v>
      </c>
      <c r="B4045" s="6" t="s">
        <v>10575</v>
      </c>
      <c r="C4045" s="6" t="s">
        <v>12</v>
      </c>
      <c r="D4045" s="6" t="s">
        <v>9344</v>
      </c>
      <c r="E4045" s="6" t="s">
        <v>10553</v>
      </c>
      <c r="F4045" s="6" t="s">
        <v>10576</v>
      </c>
      <c r="G4045" s="6" t="s">
        <v>16</v>
      </c>
      <c r="H4045" s="5">
        <v>4</v>
      </c>
      <c r="I4045" s="6" t="s">
        <v>10577</v>
      </c>
      <c r="J4045" s="5">
        <v>740</v>
      </c>
    </row>
    <row r="4046" s="2" customFormat="1" spans="1:10">
      <c r="A4046" s="6">
        <f>4044</f>
        <v>4044</v>
      </c>
      <c r="B4046" s="6" t="s">
        <v>10578</v>
      </c>
      <c r="C4046" s="6" t="s">
        <v>12</v>
      </c>
      <c r="D4046" s="6" t="s">
        <v>9344</v>
      </c>
      <c r="E4046" s="6" t="s">
        <v>10553</v>
      </c>
      <c r="F4046" s="6" t="s">
        <v>10579</v>
      </c>
      <c r="G4046" s="6" t="s">
        <v>16</v>
      </c>
      <c r="H4046" s="5">
        <v>1</v>
      </c>
      <c r="I4046" s="6" t="s">
        <v>10579</v>
      </c>
      <c r="J4046" s="5">
        <v>540</v>
      </c>
    </row>
    <row r="4047" s="2" customFormat="1" spans="1:10">
      <c r="A4047" s="6">
        <f>4045</f>
        <v>4045</v>
      </c>
      <c r="B4047" s="6" t="s">
        <v>10580</v>
      </c>
      <c r="C4047" s="6" t="s">
        <v>12</v>
      </c>
      <c r="D4047" s="6" t="s">
        <v>9344</v>
      </c>
      <c r="E4047" s="6" t="s">
        <v>10553</v>
      </c>
      <c r="F4047" s="6" t="s">
        <v>10581</v>
      </c>
      <c r="G4047" s="6" t="s">
        <v>16</v>
      </c>
      <c r="H4047" s="5">
        <v>1</v>
      </c>
      <c r="I4047" s="6" t="s">
        <v>10581</v>
      </c>
      <c r="J4047" s="5">
        <v>620</v>
      </c>
    </row>
    <row r="4048" s="2" customFormat="1" spans="1:10">
      <c r="A4048" s="6">
        <f>4046</f>
        <v>4046</v>
      </c>
      <c r="B4048" s="6" t="s">
        <v>10582</v>
      </c>
      <c r="C4048" s="6" t="s">
        <v>12</v>
      </c>
      <c r="D4048" s="6" t="s">
        <v>9344</v>
      </c>
      <c r="E4048" s="6" t="s">
        <v>10553</v>
      </c>
      <c r="F4048" s="6" t="s">
        <v>10583</v>
      </c>
      <c r="G4048" s="6" t="s">
        <v>16</v>
      </c>
      <c r="H4048" s="5">
        <v>1</v>
      </c>
      <c r="I4048" s="6" t="s">
        <v>10583</v>
      </c>
      <c r="J4048" s="5">
        <v>540</v>
      </c>
    </row>
    <row r="4049" s="2" customFormat="1" spans="1:10">
      <c r="A4049" s="6">
        <f>4047</f>
        <v>4047</v>
      </c>
      <c r="B4049" s="6" t="s">
        <v>10584</v>
      </c>
      <c r="C4049" s="6" t="s">
        <v>12</v>
      </c>
      <c r="D4049" s="6" t="s">
        <v>9344</v>
      </c>
      <c r="E4049" s="6" t="s">
        <v>10553</v>
      </c>
      <c r="F4049" s="6" t="s">
        <v>10585</v>
      </c>
      <c r="G4049" s="6" t="s">
        <v>16</v>
      </c>
      <c r="H4049" s="5">
        <v>1</v>
      </c>
      <c r="I4049" s="6" t="s">
        <v>10585</v>
      </c>
      <c r="J4049" s="5">
        <v>440</v>
      </c>
    </row>
    <row r="4050" s="2" customFormat="1" spans="1:10">
      <c r="A4050" s="6">
        <f>4048</f>
        <v>4048</v>
      </c>
      <c r="B4050" s="6" t="s">
        <v>10586</v>
      </c>
      <c r="C4050" s="6" t="s">
        <v>12</v>
      </c>
      <c r="D4050" s="6" t="s">
        <v>9344</v>
      </c>
      <c r="E4050" s="6" t="s">
        <v>10553</v>
      </c>
      <c r="F4050" s="6" t="s">
        <v>10587</v>
      </c>
      <c r="G4050" s="6" t="s">
        <v>16</v>
      </c>
      <c r="H4050" s="5">
        <v>1</v>
      </c>
      <c r="I4050" s="6" t="s">
        <v>10587</v>
      </c>
      <c r="J4050" s="5">
        <v>250</v>
      </c>
    </row>
    <row r="4051" s="2" customFormat="1" spans="1:10">
      <c r="A4051" s="6">
        <f>4049</f>
        <v>4049</v>
      </c>
      <c r="B4051" s="6" t="s">
        <v>10588</v>
      </c>
      <c r="C4051" s="6" t="s">
        <v>12</v>
      </c>
      <c r="D4051" s="6" t="s">
        <v>9344</v>
      </c>
      <c r="E4051" s="6" t="s">
        <v>10553</v>
      </c>
      <c r="F4051" s="6" t="s">
        <v>10589</v>
      </c>
      <c r="G4051" s="6" t="s">
        <v>16</v>
      </c>
      <c r="H4051" s="5">
        <v>3</v>
      </c>
      <c r="I4051" s="6" t="s">
        <v>10590</v>
      </c>
      <c r="J4051" s="5">
        <v>620</v>
      </c>
    </row>
    <row r="4052" s="2" customFormat="1" ht="27" spans="1:10">
      <c r="A4052" s="6">
        <f>4050</f>
        <v>4050</v>
      </c>
      <c r="B4052" s="6" t="s">
        <v>10591</v>
      </c>
      <c r="C4052" s="6" t="s">
        <v>12</v>
      </c>
      <c r="D4052" s="6" t="s">
        <v>9344</v>
      </c>
      <c r="E4052" s="6" t="s">
        <v>10553</v>
      </c>
      <c r="F4052" s="6" t="s">
        <v>10592</v>
      </c>
      <c r="G4052" s="6" t="s">
        <v>16</v>
      </c>
      <c r="H4052" s="5">
        <v>4</v>
      </c>
      <c r="I4052" s="6" t="s">
        <v>10593</v>
      </c>
      <c r="J4052" s="5">
        <v>1060</v>
      </c>
    </row>
    <row r="4053" s="2" customFormat="1" spans="1:10">
      <c r="A4053" s="6">
        <f>4051</f>
        <v>4051</v>
      </c>
      <c r="B4053" s="6" t="s">
        <v>10594</v>
      </c>
      <c r="C4053" s="6" t="s">
        <v>12</v>
      </c>
      <c r="D4053" s="6" t="s">
        <v>9344</v>
      </c>
      <c r="E4053" s="6" t="s">
        <v>10553</v>
      </c>
      <c r="F4053" s="6" t="s">
        <v>10595</v>
      </c>
      <c r="G4053" s="6" t="s">
        <v>16</v>
      </c>
      <c r="H4053" s="5">
        <v>1</v>
      </c>
      <c r="I4053" s="6" t="s">
        <v>10595</v>
      </c>
      <c r="J4053" s="5">
        <v>245</v>
      </c>
    </row>
    <row r="4054" s="2" customFormat="1" spans="1:10">
      <c r="A4054" s="6">
        <f>4052</f>
        <v>4052</v>
      </c>
      <c r="B4054" s="6" t="s">
        <v>10596</v>
      </c>
      <c r="C4054" s="6" t="s">
        <v>12</v>
      </c>
      <c r="D4054" s="6" t="s">
        <v>9344</v>
      </c>
      <c r="E4054" s="6" t="s">
        <v>10553</v>
      </c>
      <c r="F4054" s="6" t="s">
        <v>10597</v>
      </c>
      <c r="G4054" s="6" t="s">
        <v>16</v>
      </c>
      <c r="H4054" s="5">
        <v>1</v>
      </c>
      <c r="I4054" s="6" t="s">
        <v>10597</v>
      </c>
      <c r="J4054" s="5">
        <v>250</v>
      </c>
    </row>
    <row r="4055" s="2" customFormat="1" spans="1:10">
      <c r="A4055" s="6">
        <f>4053</f>
        <v>4053</v>
      </c>
      <c r="B4055" s="6" t="s">
        <v>10598</v>
      </c>
      <c r="C4055" s="6" t="s">
        <v>12</v>
      </c>
      <c r="D4055" s="6" t="s">
        <v>9344</v>
      </c>
      <c r="E4055" s="6" t="s">
        <v>10553</v>
      </c>
      <c r="F4055" s="6" t="s">
        <v>10599</v>
      </c>
      <c r="G4055" s="6" t="s">
        <v>16</v>
      </c>
      <c r="H4055" s="5">
        <v>3</v>
      </c>
      <c r="I4055" s="6" t="s">
        <v>10600</v>
      </c>
      <c r="J4055" s="5">
        <v>820</v>
      </c>
    </row>
    <row r="4056" s="2" customFormat="1" spans="1:10">
      <c r="A4056" s="6">
        <f>4054</f>
        <v>4054</v>
      </c>
      <c r="B4056" s="6" t="s">
        <v>10601</v>
      </c>
      <c r="C4056" s="6" t="s">
        <v>12</v>
      </c>
      <c r="D4056" s="6" t="s">
        <v>9344</v>
      </c>
      <c r="E4056" s="6" t="s">
        <v>10553</v>
      </c>
      <c r="F4056" s="6" t="s">
        <v>10602</v>
      </c>
      <c r="G4056" s="6" t="s">
        <v>16</v>
      </c>
      <c r="H4056" s="5">
        <v>1</v>
      </c>
      <c r="I4056" s="6" t="s">
        <v>10602</v>
      </c>
      <c r="J4056" s="5">
        <v>320</v>
      </c>
    </row>
    <row r="4057" s="2" customFormat="1" spans="1:10">
      <c r="A4057" s="6">
        <f>4055</f>
        <v>4055</v>
      </c>
      <c r="B4057" s="6" t="s">
        <v>10603</v>
      </c>
      <c r="C4057" s="6" t="s">
        <v>12</v>
      </c>
      <c r="D4057" s="6" t="s">
        <v>9344</v>
      </c>
      <c r="E4057" s="6" t="s">
        <v>10553</v>
      </c>
      <c r="F4057" s="6" t="s">
        <v>6996</v>
      </c>
      <c r="G4057" s="6" t="s">
        <v>16</v>
      </c>
      <c r="H4057" s="5">
        <v>1</v>
      </c>
      <c r="I4057" s="6" t="s">
        <v>6996</v>
      </c>
      <c r="J4057" s="5">
        <v>540</v>
      </c>
    </row>
    <row r="4058" s="2" customFormat="1" spans="1:10">
      <c r="A4058" s="6">
        <f>4056</f>
        <v>4056</v>
      </c>
      <c r="B4058" s="6" t="s">
        <v>10604</v>
      </c>
      <c r="C4058" s="6" t="s">
        <v>12</v>
      </c>
      <c r="D4058" s="6" t="s">
        <v>9344</v>
      </c>
      <c r="E4058" s="6" t="s">
        <v>10553</v>
      </c>
      <c r="F4058" s="6" t="s">
        <v>10605</v>
      </c>
      <c r="G4058" s="6" t="s">
        <v>16</v>
      </c>
      <c r="H4058" s="5">
        <v>2</v>
      </c>
      <c r="I4058" s="6" t="s">
        <v>10606</v>
      </c>
      <c r="J4058" s="5">
        <v>880</v>
      </c>
    </row>
    <row r="4059" s="2" customFormat="1" spans="1:10">
      <c r="A4059" s="6">
        <f>4057</f>
        <v>4057</v>
      </c>
      <c r="B4059" s="6" t="s">
        <v>10607</v>
      </c>
      <c r="C4059" s="6" t="s">
        <v>12</v>
      </c>
      <c r="D4059" s="6" t="s">
        <v>9344</v>
      </c>
      <c r="E4059" s="6" t="s">
        <v>10553</v>
      </c>
      <c r="F4059" s="6" t="s">
        <v>10608</v>
      </c>
      <c r="G4059" s="6" t="s">
        <v>16</v>
      </c>
      <c r="H4059" s="5">
        <v>1</v>
      </c>
      <c r="I4059" s="6" t="s">
        <v>10608</v>
      </c>
      <c r="J4059" s="5">
        <v>440</v>
      </c>
    </row>
    <row r="4060" s="2" customFormat="1" spans="1:10">
      <c r="A4060" s="6">
        <f>4058</f>
        <v>4058</v>
      </c>
      <c r="B4060" s="6" t="s">
        <v>10609</v>
      </c>
      <c r="C4060" s="6" t="s">
        <v>12</v>
      </c>
      <c r="D4060" s="6" t="s">
        <v>9344</v>
      </c>
      <c r="E4060" s="6" t="s">
        <v>10553</v>
      </c>
      <c r="F4060" s="6" t="s">
        <v>10610</v>
      </c>
      <c r="G4060" s="6" t="s">
        <v>16</v>
      </c>
      <c r="H4060" s="5">
        <v>2</v>
      </c>
      <c r="I4060" s="6" t="s">
        <v>10611</v>
      </c>
      <c r="J4060" s="5">
        <v>680</v>
      </c>
    </row>
    <row r="4061" s="2" customFormat="1" spans="1:10">
      <c r="A4061" s="6">
        <f>4059</f>
        <v>4059</v>
      </c>
      <c r="B4061" s="6" t="s">
        <v>10612</v>
      </c>
      <c r="C4061" s="6" t="s">
        <v>12</v>
      </c>
      <c r="D4061" s="6" t="s">
        <v>9344</v>
      </c>
      <c r="E4061" s="6" t="s">
        <v>10553</v>
      </c>
      <c r="F4061" s="6" t="s">
        <v>10613</v>
      </c>
      <c r="G4061" s="6" t="s">
        <v>16</v>
      </c>
      <c r="H4061" s="5">
        <v>2</v>
      </c>
      <c r="I4061" s="6" t="s">
        <v>10614</v>
      </c>
      <c r="J4061" s="5">
        <v>620</v>
      </c>
    </row>
    <row r="4062" s="2" customFormat="1" spans="1:10">
      <c r="A4062" s="6">
        <f>4060</f>
        <v>4060</v>
      </c>
      <c r="B4062" s="6" t="s">
        <v>10615</v>
      </c>
      <c r="C4062" s="6" t="s">
        <v>12</v>
      </c>
      <c r="D4062" s="6" t="s">
        <v>9344</v>
      </c>
      <c r="E4062" s="6" t="s">
        <v>10553</v>
      </c>
      <c r="F4062" s="6" t="s">
        <v>10616</v>
      </c>
      <c r="G4062" s="6" t="s">
        <v>16</v>
      </c>
      <c r="H4062" s="5">
        <v>2</v>
      </c>
      <c r="I4062" s="6" t="s">
        <v>10617</v>
      </c>
      <c r="J4062" s="5">
        <v>580</v>
      </c>
    </row>
    <row r="4063" s="2" customFormat="1" ht="27" spans="1:10">
      <c r="A4063" s="6">
        <f>4061</f>
        <v>4061</v>
      </c>
      <c r="B4063" s="6" t="s">
        <v>10618</v>
      </c>
      <c r="C4063" s="6" t="s">
        <v>12</v>
      </c>
      <c r="D4063" s="6" t="s">
        <v>9344</v>
      </c>
      <c r="E4063" s="6" t="s">
        <v>10553</v>
      </c>
      <c r="F4063" s="6" t="s">
        <v>10619</v>
      </c>
      <c r="G4063" s="6" t="s">
        <v>16</v>
      </c>
      <c r="H4063" s="5">
        <v>4</v>
      </c>
      <c r="I4063" s="6" t="s">
        <v>10620</v>
      </c>
      <c r="J4063" s="5">
        <v>660</v>
      </c>
    </row>
    <row r="4064" s="2" customFormat="1" spans="1:10">
      <c r="A4064" s="6">
        <f>4062</f>
        <v>4062</v>
      </c>
      <c r="B4064" s="6" t="s">
        <v>10621</v>
      </c>
      <c r="C4064" s="6" t="s">
        <v>12</v>
      </c>
      <c r="D4064" s="6" t="s">
        <v>9344</v>
      </c>
      <c r="E4064" s="6" t="s">
        <v>10553</v>
      </c>
      <c r="F4064" s="6" t="s">
        <v>10622</v>
      </c>
      <c r="G4064" s="6" t="s">
        <v>16</v>
      </c>
      <c r="H4064" s="5">
        <v>1</v>
      </c>
      <c r="I4064" s="6" t="s">
        <v>10622</v>
      </c>
      <c r="J4064" s="5">
        <v>260</v>
      </c>
    </row>
    <row r="4065" s="2" customFormat="1" spans="1:10">
      <c r="A4065" s="6">
        <f>4063</f>
        <v>4063</v>
      </c>
      <c r="B4065" s="6" t="s">
        <v>10623</v>
      </c>
      <c r="C4065" s="6" t="s">
        <v>12</v>
      </c>
      <c r="D4065" s="6" t="s">
        <v>9344</v>
      </c>
      <c r="E4065" s="6" t="s">
        <v>10553</v>
      </c>
      <c r="F4065" s="6" t="s">
        <v>10624</v>
      </c>
      <c r="G4065" s="6" t="s">
        <v>16</v>
      </c>
      <c r="H4065" s="5">
        <v>1</v>
      </c>
      <c r="I4065" s="6" t="s">
        <v>10624</v>
      </c>
      <c r="J4065" s="5">
        <v>250</v>
      </c>
    </row>
    <row r="4066" s="2" customFormat="1" spans="1:10">
      <c r="A4066" s="6">
        <f>4064</f>
        <v>4064</v>
      </c>
      <c r="B4066" s="6" t="s">
        <v>10625</v>
      </c>
      <c r="C4066" s="6" t="s">
        <v>12</v>
      </c>
      <c r="D4066" s="6" t="s">
        <v>9344</v>
      </c>
      <c r="E4066" s="6" t="s">
        <v>10553</v>
      </c>
      <c r="F4066" s="6" t="s">
        <v>10626</v>
      </c>
      <c r="G4066" s="6" t="s">
        <v>16</v>
      </c>
      <c r="H4066" s="5">
        <v>2</v>
      </c>
      <c r="I4066" s="6" t="s">
        <v>10627</v>
      </c>
      <c r="J4066" s="5">
        <v>500</v>
      </c>
    </row>
    <row r="4067" s="2" customFormat="1" spans="1:10">
      <c r="A4067" s="6">
        <f>4065</f>
        <v>4065</v>
      </c>
      <c r="B4067" s="6" t="s">
        <v>10628</v>
      </c>
      <c r="C4067" s="6" t="s">
        <v>12</v>
      </c>
      <c r="D4067" s="6" t="s">
        <v>9344</v>
      </c>
      <c r="E4067" s="6" t="s">
        <v>10553</v>
      </c>
      <c r="F4067" s="6" t="s">
        <v>10629</v>
      </c>
      <c r="G4067" s="6" t="s">
        <v>16</v>
      </c>
      <c r="H4067" s="5">
        <v>2</v>
      </c>
      <c r="I4067" s="6" t="s">
        <v>10630</v>
      </c>
      <c r="J4067" s="5">
        <v>880</v>
      </c>
    </row>
    <row r="4068" s="2" customFormat="1" ht="27" spans="1:10">
      <c r="A4068" s="6">
        <f>4066</f>
        <v>4066</v>
      </c>
      <c r="B4068" s="6" t="s">
        <v>10631</v>
      </c>
      <c r="C4068" s="6" t="s">
        <v>12</v>
      </c>
      <c r="D4068" s="6" t="s">
        <v>9344</v>
      </c>
      <c r="E4068" s="6" t="s">
        <v>10553</v>
      </c>
      <c r="F4068" s="6" t="s">
        <v>10632</v>
      </c>
      <c r="G4068" s="6" t="s">
        <v>16</v>
      </c>
      <c r="H4068" s="5">
        <v>4</v>
      </c>
      <c r="I4068" s="6" t="s">
        <v>10633</v>
      </c>
      <c r="J4068" s="5">
        <v>460</v>
      </c>
    </row>
    <row r="4069" s="2" customFormat="1" spans="1:10">
      <c r="A4069" s="6">
        <f>4067</f>
        <v>4067</v>
      </c>
      <c r="B4069" s="6" t="s">
        <v>10634</v>
      </c>
      <c r="C4069" s="6" t="s">
        <v>12</v>
      </c>
      <c r="D4069" s="6" t="s">
        <v>9344</v>
      </c>
      <c r="E4069" s="6" t="s">
        <v>10553</v>
      </c>
      <c r="F4069" s="6" t="s">
        <v>10635</v>
      </c>
      <c r="G4069" s="6" t="s">
        <v>16</v>
      </c>
      <c r="H4069" s="5">
        <v>3</v>
      </c>
      <c r="I4069" s="6" t="s">
        <v>10636</v>
      </c>
      <c r="J4069" s="5">
        <v>505</v>
      </c>
    </row>
    <row r="4070" s="2" customFormat="1" spans="1:10">
      <c r="A4070" s="6">
        <f>4068</f>
        <v>4068</v>
      </c>
      <c r="B4070" s="6" t="s">
        <v>10637</v>
      </c>
      <c r="C4070" s="6" t="s">
        <v>12</v>
      </c>
      <c r="D4070" s="6" t="s">
        <v>9344</v>
      </c>
      <c r="E4070" s="6" t="s">
        <v>10553</v>
      </c>
      <c r="F4070" s="6" t="s">
        <v>10638</v>
      </c>
      <c r="G4070" s="6" t="s">
        <v>16</v>
      </c>
      <c r="H4070" s="5">
        <v>3</v>
      </c>
      <c r="I4070" s="6" t="s">
        <v>10639</v>
      </c>
      <c r="J4070" s="5">
        <v>820</v>
      </c>
    </row>
    <row r="4071" s="2" customFormat="1" spans="1:10">
      <c r="A4071" s="6">
        <f>4069</f>
        <v>4069</v>
      </c>
      <c r="B4071" s="6" t="s">
        <v>10640</v>
      </c>
      <c r="C4071" s="6" t="s">
        <v>12</v>
      </c>
      <c r="D4071" s="6" t="s">
        <v>9344</v>
      </c>
      <c r="E4071" s="6" t="s">
        <v>10553</v>
      </c>
      <c r="F4071" s="6" t="s">
        <v>10641</v>
      </c>
      <c r="G4071" s="6" t="s">
        <v>16</v>
      </c>
      <c r="H4071" s="5">
        <v>1</v>
      </c>
      <c r="I4071" s="6" t="s">
        <v>10641</v>
      </c>
      <c r="J4071" s="5">
        <v>250</v>
      </c>
    </row>
    <row r="4072" s="2" customFormat="1" spans="1:10">
      <c r="A4072" s="6">
        <f>4070</f>
        <v>4070</v>
      </c>
      <c r="B4072" s="6" t="s">
        <v>10642</v>
      </c>
      <c r="C4072" s="6" t="s">
        <v>12</v>
      </c>
      <c r="D4072" s="6" t="s">
        <v>9344</v>
      </c>
      <c r="E4072" s="6" t="s">
        <v>10553</v>
      </c>
      <c r="F4072" s="6" t="s">
        <v>10643</v>
      </c>
      <c r="G4072" s="6" t="s">
        <v>16</v>
      </c>
      <c r="H4072" s="5">
        <v>1</v>
      </c>
      <c r="I4072" s="6" t="s">
        <v>10643</v>
      </c>
      <c r="J4072" s="5">
        <v>260</v>
      </c>
    </row>
    <row r="4073" s="2" customFormat="1" ht="27" spans="1:10">
      <c r="A4073" s="6">
        <f>4071</f>
        <v>4071</v>
      </c>
      <c r="B4073" s="6" t="s">
        <v>10644</v>
      </c>
      <c r="C4073" s="6" t="s">
        <v>12</v>
      </c>
      <c r="D4073" s="6" t="s">
        <v>9344</v>
      </c>
      <c r="E4073" s="6" t="s">
        <v>10553</v>
      </c>
      <c r="F4073" s="6" t="s">
        <v>7642</v>
      </c>
      <c r="G4073" s="6" t="s">
        <v>16</v>
      </c>
      <c r="H4073" s="5">
        <v>4</v>
      </c>
      <c r="I4073" s="6" t="s">
        <v>10645</v>
      </c>
      <c r="J4073" s="5">
        <v>555</v>
      </c>
    </row>
    <row r="4074" s="2" customFormat="1" spans="1:10">
      <c r="A4074" s="6">
        <f>4072</f>
        <v>4072</v>
      </c>
      <c r="B4074" s="6" t="s">
        <v>10646</v>
      </c>
      <c r="C4074" s="6" t="s">
        <v>12</v>
      </c>
      <c r="D4074" s="6" t="s">
        <v>9344</v>
      </c>
      <c r="E4074" s="6" t="s">
        <v>10553</v>
      </c>
      <c r="F4074" s="6" t="s">
        <v>10647</v>
      </c>
      <c r="G4074" s="6" t="s">
        <v>16</v>
      </c>
      <c r="H4074" s="5">
        <v>1</v>
      </c>
      <c r="I4074" s="6" t="s">
        <v>10647</v>
      </c>
      <c r="J4074" s="5">
        <v>250</v>
      </c>
    </row>
    <row r="4075" s="2" customFormat="1" spans="1:10">
      <c r="A4075" s="6">
        <f>4073</f>
        <v>4073</v>
      </c>
      <c r="B4075" s="6" t="s">
        <v>10648</v>
      </c>
      <c r="C4075" s="6" t="s">
        <v>12</v>
      </c>
      <c r="D4075" s="6" t="s">
        <v>9344</v>
      </c>
      <c r="E4075" s="6" t="s">
        <v>10553</v>
      </c>
      <c r="F4075" s="6" t="s">
        <v>10649</v>
      </c>
      <c r="G4075" s="6" t="s">
        <v>16</v>
      </c>
      <c r="H4075" s="5">
        <v>2</v>
      </c>
      <c r="I4075" s="6" t="s">
        <v>10650</v>
      </c>
      <c r="J4075" s="5">
        <v>636</v>
      </c>
    </row>
    <row r="4076" s="2" customFormat="1" spans="1:10">
      <c r="A4076" s="6">
        <f>4074</f>
        <v>4074</v>
      </c>
      <c r="B4076" s="6" t="s">
        <v>10651</v>
      </c>
      <c r="C4076" s="6" t="s">
        <v>12</v>
      </c>
      <c r="D4076" s="6" t="s">
        <v>9344</v>
      </c>
      <c r="E4076" s="6" t="s">
        <v>10553</v>
      </c>
      <c r="F4076" s="6" t="s">
        <v>10652</v>
      </c>
      <c r="G4076" s="6" t="s">
        <v>16</v>
      </c>
      <c r="H4076" s="5">
        <v>2</v>
      </c>
      <c r="I4076" s="6" t="s">
        <v>10653</v>
      </c>
      <c r="J4076" s="5">
        <v>580</v>
      </c>
    </row>
    <row r="4077" s="2" customFormat="1" spans="1:10">
      <c r="A4077" s="6">
        <f>4075</f>
        <v>4075</v>
      </c>
      <c r="B4077" s="6" t="s">
        <v>10654</v>
      </c>
      <c r="C4077" s="6" t="s">
        <v>12</v>
      </c>
      <c r="D4077" s="6" t="s">
        <v>9344</v>
      </c>
      <c r="E4077" s="6" t="s">
        <v>10553</v>
      </c>
      <c r="F4077" s="6" t="s">
        <v>10655</v>
      </c>
      <c r="G4077" s="6" t="s">
        <v>16</v>
      </c>
      <c r="H4077" s="5">
        <v>1</v>
      </c>
      <c r="I4077" s="6" t="s">
        <v>10655</v>
      </c>
      <c r="J4077" s="5">
        <v>540</v>
      </c>
    </row>
    <row r="4078" s="2" customFormat="1" spans="1:10">
      <c r="A4078" s="6">
        <f>4076</f>
        <v>4076</v>
      </c>
      <c r="B4078" s="6" t="s">
        <v>10656</v>
      </c>
      <c r="C4078" s="6" t="s">
        <v>12</v>
      </c>
      <c r="D4078" s="6" t="s">
        <v>9344</v>
      </c>
      <c r="E4078" s="6" t="s">
        <v>10553</v>
      </c>
      <c r="F4078" s="6" t="s">
        <v>10657</v>
      </c>
      <c r="G4078" s="6" t="s">
        <v>16</v>
      </c>
      <c r="H4078" s="5">
        <v>2</v>
      </c>
      <c r="I4078" s="6" t="s">
        <v>10658</v>
      </c>
      <c r="J4078" s="5">
        <v>320</v>
      </c>
    </row>
    <row r="4079" s="2" customFormat="1" spans="1:10">
      <c r="A4079" s="6">
        <f>4077</f>
        <v>4077</v>
      </c>
      <c r="B4079" s="6" t="s">
        <v>10659</v>
      </c>
      <c r="C4079" s="6" t="s">
        <v>12</v>
      </c>
      <c r="D4079" s="6" t="s">
        <v>9344</v>
      </c>
      <c r="E4079" s="6" t="s">
        <v>10553</v>
      </c>
      <c r="F4079" s="6" t="s">
        <v>10660</v>
      </c>
      <c r="G4079" s="6" t="s">
        <v>16</v>
      </c>
      <c r="H4079" s="5">
        <v>1</v>
      </c>
      <c r="I4079" s="6" t="s">
        <v>10660</v>
      </c>
      <c r="J4079" s="5">
        <v>260</v>
      </c>
    </row>
    <row r="4080" s="2" customFormat="1" spans="1:10">
      <c r="A4080" s="6">
        <f>4078</f>
        <v>4078</v>
      </c>
      <c r="B4080" s="6" t="s">
        <v>10661</v>
      </c>
      <c r="C4080" s="6" t="s">
        <v>12</v>
      </c>
      <c r="D4080" s="6" t="s">
        <v>9344</v>
      </c>
      <c r="E4080" s="6" t="s">
        <v>10553</v>
      </c>
      <c r="F4080" s="6" t="s">
        <v>10662</v>
      </c>
      <c r="G4080" s="6" t="s">
        <v>16</v>
      </c>
      <c r="H4080" s="5">
        <v>1</v>
      </c>
      <c r="I4080" s="6" t="s">
        <v>10662</v>
      </c>
      <c r="J4080" s="5">
        <v>540</v>
      </c>
    </row>
    <row r="4081" s="2" customFormat="1" spans="1:10">
      <c r="A4081" s="6">
        <f>4079</f>
        <v>4079</v>
      </c>
      <c r="B4081" s="6" t="s">
        <v>10663</v>
      </c>
      <c r="C4081" s="6" t="s">
        <v>12</v>
      </c>
      <c r="D4081" s="6" t="s">
        <v>9344</v>
      </c>
      <c r="E4081" s="6" t="s">
        <v>10553</v>
      </c>
      <c r="F4081" s="6" t="s">
        <v>10664</v>
      </c>
      <c r="G4081" s="6" t="s">
        <v>16</v>
      </c>
      <c r="H4081" s="5">
        <v>3</v>
      </c>
      <c r="I4081" s="6" t="s">
        <v>10665</v>
      </c>
      <c r="J4081" s="5">
        <v>780</v>
      </c>
    </row>
    <row r="4082" s="2" customFormat="1" ht="27" spans="1:10">
      <c r="A4082" s="6">
        <f>4080</f>
        <v>4080</v>
      </c>
      <c r="B4082" s="6" t="s">
        <v>10666</v>
      </c>
      <c r="C4082" s="6" t="s">
        <v>12</v>
      </c>
      <c r="D4082" s="6" t="s">
        <v>9344</v>
      </c>
      <c r="E4082" s="6" t="s">
        <v>10553</v>
      </c>
      <c r="F4082" s="6" t="s">
        <v>10667</v>
      </c>
      <c r="G4082" s="6" t="s">
        <v>16</v>
      </c>
      <c r="H4082" s="5">
        <v>4</v>
      </c>
      <c r="I4082" s="6" t="s">
        <v>10668</v>
      </c>
      <c r="J4082" s="5">
        <v>1160</v>
      </c>
    </row>
    <row r="4083" s="2" customFormat="1" spans="1:10">
      <c r="A4083" s="6">
        <f>4081</f>
        <v>4081</v>
      </c>
      <c r="B4083" s="6" t="s">
        <v>10669</v>
      </c>
      <c r="C4083" s="6" t="s">
        <v>12</v>
      </c>
      <c r="D4083" s="6" t="s">
        <v>9344</v>
      </c>
      <c r="E4083" s="6" t="s">
        <v>10553</v>
      </c>
      <c r="F4083" s="6" t="s">
        <v>10670</v>
      </c>
      <c r="G4083" s="6" t="s">
        <v>16</v>
      </c>
      <c r="H4083" s="5">
        <v>1</v>
      </c>
      <c r="I4083" s="6" t="s">
        <v>10670</v>
      </c>
      <c r="J4083" s="5">
        <v>245</v>
      </c>
    </row>
    <row r="4084" s="2" customFormat="1" spans="1:10">
      <c r="A4084" s="6">
        <f>4082</f>
        <v>4082</v>
      </c>
      <c r="B4084" s="6" t="s">
        <v>10671</v>
      </c>
      <c r="C4084" s="6" t="s">
        <v>12</v>
      </c>
      <c r="D4084" s="6" t="s">
        <v>9344</v>
      </c>
      <c r="E4084" s="6" t="s">
        <v>10553</v>
      </c>
      <c r="F4084" s="6" t="s">
        <v>10672</v>
      </c>
      <c r="G4084" s="6" t="s">
        <v>16</v>
      </c>
      <c r="H4084" s="5">
        <v>1</v>
      </c>
      <c r="I4084" s="6" t="s">
        <v>10672</v>
      </c>
      <c r="J4084" s="5">
        <v>540</v>
      </c>
    </row>
    <row r="4085" s="2" customFormat="1" spans="1:10">
      <c r="A4085" s="6">
        <f>4083</f>
        <v>4083</v>
      </c>
      <c r="B4085" s="6" t="s">
        <v>10673</v>
      </c>
      <c r="C4085" s="6" t="s">
        <v>12</v>
      </c>
      <c r="D4085" s="6" t="s">
        <v>9344</v>
      </c>
      <c r="E4085" s="6" t="s">
        <v>10553</v>
      </c>
      <c r="F4085" s="6" t="s">
        <v>10674</v>
      </c>
      <c r="G4085" s="6" t="s">
        <v>16</v>
      </c>
      <c r="H4085" s="5">
        <v>2</v>
      </c>
      <c r="I4085" s="6" t="s">
        <v>10675</v>
      </c>
      <c r="J4085" s="5">
        <v>300</v>
      </c>
    </row>
    <row r="4086" s="2" customFormat="1" spans="1:10">
      <c r="A4086" s="6">
        <f>4084</f>
        <v>4084</v>
      </c>
      <c r="B4086" s="6" t="s">
        <v>10676</v>
      </c>
      <c r="C4086" s="6" t="s">
        <v>12</v>
      </c>
      <c r="D4086" s="6" t="s">
        <v>9344</v>
      </c>
      <c r="E4086" s="6" t="s">
        <v>10553</v>
      </c>
      <c r="F4086" s="6" t="s">
        <v>10677</v>
      </c>
      <c r="G4086" s="6" t="s">
        <v>16</v>
      </c>
      <c r="H4086" s="5">
        <v>1</v>
      </c>
      <c r="I4086" s="6" t="s">
        <v>10677</v>
      </c>
      <c r="J4086" s="5">
        <v>245</v>
      </c>
    </row>
    <row r="4087" s="2" customFormat="1" spans="1:10">
      <c r="A4087" s="6">
        <f>4085</f>
        <v>4085</v>
      </c>
      <c r="B4087" s="6" t="s">
        <v>10678</v>
      </c>
      <c r="C4087" s="6" t="s">
        <v>12</v>
      </c>
      <c r="D4087" s="6" t="s">
        <v>9344</v>
      </c>
      <c r="E4087" s="6" t="s">
        <v>10553</v>
      </c>
      <c r="F4087" s="6" t="s">
        <v>10679</v>
      </c>
      <c r="G4087" s="6" t="s">
        <v>16</v>
      </c>
      <c r="H4087" s="5">
        <v>1</v>
      </c>
      <c r="I4087" s="6" t="s">
        <v>10679</v>
      </c>
      <c r="J4087" s="5">
        <v>245</v>
      </c>
    </row>
    <row r="4088" s="2" customFormat="1" spans="1:10">
      <c r="A4088" s="6">
        <f>4086</f>
        <v>4086</v>
      </c>
      <c r="B4088" s="6" t="s">
        <v>10680</v>
      </c>
      <c r="C4088" s="6" t="s">
        <v>12</v>
      </c>
      <c r="D4088" s="6" t="s">
        <v>9344</v>
      </c>
      <c r="E4088" s="6" t="s">
        <v>10553</v>
      </c>
      <c r="F4088" s="6" t="s">
        <v>10681</v>
      </c>
      <c r="G4088" s="6" t="s">
        <v>16</v>
      </c>
      <c r="H4088" s="5">
        <v>1</v>
      </c>
      <c r="I4088" s="6" t="s">
        <v>10681</v>
      </c>
      <c r="J4088" s="5">
        <v>573</v>
      </c>
    </row>
    <row r="4089" s="2" customFormat="1" spans="1:10">
      <c r="A4089" s="6">
        <f>4087</f>
        <v>4087</v>
      </c>
      <c r="B4089" s="6" t="s">
        <v>10682</v>
      </c>
      <c r="C4089" s="6" t="s">
        <v>12</v>
      </c>
      <c r="D4089" s="6" t="s">
        <v>9344</v>
      </c>
      <c r="E4089" s="6" t="s">
        <v>10553</v>
      </c>
      <c r="F4089" s="6" t="s">
        <v>10683</v>
      </c>
      <c r="G4089" s="6" t="s">
        <v>16</v>
      </c>
      <c r="H4089" s="5">
        <v>2</v>
      </c>
      <c r="I4089" s="6" t="s">
        <v>10684</v>
      </c>
      <c r="J4089" s="5">
        <v>320</v>
      </c>
    </row>
    <row r="4090" s="2" customFormat="1" ht="27" spans="1:10">
      <c r="A4090" s="6">
        <f>4088</f>
        <v>4088</v>
      </c>
      <c r="B4090" s="6" t="s">
        <v>10685</v>
      </c>
      <c r="C4090" s="6" t="s">
        <v>12</v>
      </c>
      <c r="D4090" s="6" t="s">
        <v>9344</v>
      </c>
      <c r="E4090" s="6" t="s">
        <v>10553</v>
      </c>
      <c r="F4090" s="6" t="s">
        <v>10686</v>
      </c>
      <c r="G4090" s="6" t="s">
        <v>16</v>
      </c>
      <c r="H4090" s="5">
        <v>6</v>
      </c>
      <c r="I4090" s="6" t="s">
        <v>10687</v>
      </c>
      <c r="J4090" s="5">
        <v>740</v>
      </c>
    </row>
    <row r="4091" s="2" customFormat="1" spans="1:10">
      <c r="A4091" s="6">
        <f>4089</f>
        <v>4089</v>
      </c>
      <c r="B4091" s="6" t="s">
        <v>10688</v>
      </c>
      <c r="C4091" s="6" t="s">
        <v>12</v>
      </c>
      <c r="D4091" s="6" t="s">
        <v>9344</v>
      </c>
      <c r="E4091" s="6" t="s">
        <v>10553</v>
      </c>
      <c r="F4091" s="6" t="s">
        <v>10689</v>
      </c>
      <c r="G4091" s="6" t="s">
        <v>16</v>
      </c>
      <c r="H4091" s="5">
        <v>3</v>
      </c>
      <c r="I4091" s="6" t="s">
        <v>10690</v>
      </c>
      <c r="J4091" s="5">
        <v>520</v>
      </c>
    </row>
    <row r="4092" s="2" customFormat="1" spans="1:10">
      <c r="A4092" s="6">
        <f>4090</f>
        <v>4090</v>
      </c>
      <c r="B4092" s="6" t="s">
        <v>10691</v>
      </c>
      <c r="C4092" s="6" t="s">
        <v>12</v>
      </c>
      <c r="D4092" s="6" t="s">
        <v>9344</v>
      </c>
      <c r="E4092" s="6" t="s">
        <v>10553</v>
      </c>
      <c r="F4092" s="6" t="s">
        <v>10692</v>
      </c>
      <c r="G4092" s="6" t="s">
        <v>16</v>
      </c>
      <c r="H4092" s="5">
        <v>1</v>
      </c>
      <c r="I4092" s="6" t="s">
        <v>10692</v>
      </c>
      <c r="J4092" s="5">
        <v>245</v>
      </c>
    </row>
    <row r="4093" s="2" customFormat="1" spans="1:10">
      <c r="A4093" s="6">
        <f>4091</f>
        <v>4091</v>
      </c>
      <c r="B4093" s="6" t="s">
        <v>10693</v>
      </c>
      <c r="C4093" s="6" t="s">
        <v>12</v>
      </c>
      <c r="D4093" s="6" t="s">
        <v>9344</v>
      </c>
      <c r="E4093" s="6" t="s">
        <v>10553</v>
      </c>
      <c r="F4093" s="6" t="s">
        <v>10694</v>
      </c>
      <c r="G4093" s="6" t="s">
        <v>16</v>
      </c>
      <c r="H4093" s="5">
        <v>2</v>
      </c>
      <c r="I4093" s="6" t="s">
        <v>10695</v>
      </c>
      <c r="J4093" s="5">
        <v>510</v>
      </c>
    </row>
    <row r="4094" s="2" customFormat="1" spans="1:10">
      <c r="A4094" s="6">
        <f>4092</f>
        <v>4092</v>
      </c>
      <c r="B4094" s="6" t="s">
        <v>10696</v>
      </c>
      <c r="C4094" s="6" t="s">
        <v>12</v>
      </c>
      <c r="D4094" s="6" t="s">
        <v>9344</v>
      </c>
      <c r="E4094" s="6" t="s">
        <v>10553</v>
      </c>
      <c r="F4094" s="6" t="s">
        <v>10697</v>
      </c>
      <c r="G4094" s="6" t="s">
        <v>16</v>
      </c>
      <c r="H4094" s="5">
        <v>1</v>
      </c>
      <c r="I4094" s="6" t="s">
        <v>10697</v>
      </c>
      <c r="J4094" s="5">
        <v>260</v>
      </c>
    </row>
    <row r="4095" s="2" customFormat="1" spans="1:10">
      <c r="A4095" s="6">
        <f>4093</f>
        <v>4093</v>
      </c>
      <c r="B4095" s="6" t="s">
        <v>10698</v>
      </c>
      <c r="C4095" s="6" t="s">
        <v>12</v>
      </c>
      <c r="D4095" s="6" t="s">
        <v>9344</v>
      </c>
      <c r="E4095" s="6" t="s">
        <v>10553</v>
      </c>
      <c r="F4095" s="6" t="s">
        <v>10699</v>
      </c>
      <c r="G4095" s="6" t="s">
        <v>16</v>
      </c>
      <c r="H4095" s="5">
        <v>2</v>
      </c>
      <c r="I4095" s="6" t="s">
        <v>10700</v>
      </c>
      <c r="J4095" s="5">
        <v>480</v>
      </c>
    </row>
    <row r="4096" s="2" customFormat="1" spans="1:10">
      <c r="A4096" s="6">
        <f>4094</f>
        <v>4094</v>
      </c>
      <c r="B4096" s="6" t="s">
        <v>10701</v>
      </c>
      <c r="C4096" s="6" t="s">
        <v>12</v>
      </c>
      <c r="D4096" s="6" t="s">
        <v>9344</v>
      </c>
      <c r="E4096" s="6" t="s">
        <v>10553</v>
      </c>
      <c r="F4096" s="6" t="s">
        <v>10702</v>
      </c>
      <c r="G4096" s="6" t="s">
        <v>16</v>
      </c>
      <c r="H4096" s="5">
        <v>1</v>
      </c>
      <c r="I4096" s="6" t="s">
        <v>10702</v>
      </c>
      <c r="J4096" s="5">
        <v>335</v>
      </c>
    </row>
    <row r="4097" s="2" customFormat="1" spans="1:10">
      <c r="A4097" s="6">
        <f>4095</f>
        <v>4095</v>
      </c>
      <c r="B4097" s="6" t="s">
        <v>10703</v>
      </c>
      <c r="C4097" s="6" t="s">
        <v>12</v>
      </c>
      <c r="D4097" s="6" t="s">
        <v>9344</v>
      </c>
      <c r="E4097" s="6" t="s">
        <v>10553</v>
      </c>
      <c r="F4097" s="6" t="s">
        <v>10704</v>
      </c>
      <c r="G4097" s="6" t="s">
        <v>16</v>
      </c>
      <c r="H4097" s="5">
        <v>3</v>
      </c>
      <c r="I4097" s="6" t="s">
        <v>10705</v>
      </c>
      <c r="J4097" s="5">
        <v>820</v>
      </c>
    </row>
    <row r="4098" s="2" customFormat="1" spans="1:10">
      <c r="A4098" s="6">
        <f>4096</f>
        <v>4096</v>
      </c>
      <c r="B4098" s="6" t="s">
        <v>10706</v>
      </c>
      <c r="C4098" s="6" t="s">
        <v>12</v>
      </c>
      <c r="D4098" s="6" t="s">
        <v>9344</v>
      </c>
      <c r="E4098" s="6" t="s">
        <v>10553</v>
      </c>
      <c r="F4098" s="6" t="s">
        <v>10707</v>
      </c>
      <c r="G4098" s="6" t="s">
        <v>16</v>
      </c>
      <c r="H4098" s="5">
        <v>1</v>
      </c>
      <c r="I4098" s="6" t="s">
        <v>10707</v>
      </c>
      <c r="J4098" s="5">
        <v>245</v>
      </c>
    </row>
    <row r="4099" s="2" customFormat="1" spans="1:10">
      <c r="A4099" s="6">
        <f>4097</f>
        <v>4097</v>
      </c>
      <c r="B4099" s="6" t="s">
        <v>10708</v>
      </c>
      <c r="C4099" s="6" t="s">
        <v>12</v>
      </c>
      <c r="D4099" s="6" t="s">
        <v>9344</v>
      </c>
      <c r="E4099" s="6" t="s">
        <v>10553</v>
      </c>
      <c r="F4099" s="6" t="s">
        <v>10709</v>
      </c>
      <c r="G4099" s="6" t="s">
        <v>16</v>
      </c>
      <c r="H4099" s="5">
        <v>3</v>
      </c>
      <c r="I4099" s="6" t="s">
        <v>10710</v>
      </c>
      <c r="J4099" s="5">
        <v>480</v>
      </c>
    </row>
    <row r="4100" s="2" customFormat="1" spans="1:10">
      <c r="A4100" s="6">
        <f>4098</f>
        <v>4098</v>
      </c>
      <c r="B4100" s="6" t="s">
        <v>10711</v>
      </c>
      <c r="C4100" s="6" t="s">
        <v>12</v>
      </c>
      <c r="D4100" s="6" t="s">
        <v>9344</v>
      </c>
      <c r="E4100" s="6" t="s">
        <v>10553</v>
      </c>
      <c r="F4100" s="6" t="s">
        <v>10712</v>
      </c>
      <c r="G4100" s="6" t="s">
        <v>16</v>
      </c>
      <c r="H4100" s="5">
        <v>1</v>
      </c>
      <c r="I4100" s="6" t="s">
        <v>10712</v>
      </c>
      <c r="J4100" s="5">
        <v>620</v>
      </c>
    </row>
    <row r="4101" s="2" customFormat="1" spans="1:10">
      <c r="A4101" s="6">
        <f>4099</f>
        <v>4099</v>
      </c>
      <c r="B4101" s="6" t="s">
        <v>10713</v>
      </c>
      <c r="C4101" s="6" t="s">
        <v>12</v>
      </c>
      <c r="D4101" s="6" t="s">
        <v>9344</v>
      </c>
      <c r="E4101" s="6" t="s">
        <v>10553</v>
      </c>
      <c r="F4101" s="6" t="s">
        <v>10714</v>
      </c>
      <c r="G4101" s="6" t="s">
        <v>16</v>
      </c>
      <c r="H4101" s="5">
        <v>1</v>
      </c>
      <c r="I4101" s="6" t="s">
        <v>10714</v>
      </c>
      <c r="J4101" s="5">
        <v>500</v>
      </c>
    </row>
    <row r="4102" s="2" customFormat="1" spans="1:10">
      <c r="A4102" s="6">
        <f>4100</f>
        <v>4100</v>
      </c>
      <c r="B4102" s="6" t="s">
        <v>10715</v>
      </c>
      <c r="C4102" s="6" t="s">
        <v>12</v>
      </c>
      <c r="D4102" s="6" t="s">
        <v>9344</v>
      </c>
      <c r="E4102" s="6" t="s">
        <v>10716</v>
      </c>
      <c r="F4102" s="6" t="s">
        <v>10717</v>
      </c>
      <c r="G4102" s="6" t="s">
        <v>16</v>
      </c>
      <c r="H4102" s="5">
        <v>1</v>
      </c>
      <c r="I4102" s="6" t="s">
        <v>10717</v>
      </c>
      <c r="J4102" s="5">
        <v>260</v>
      </c>
    </row>
    <row r="4103" s="2" customFormat="1" spans="1:10">
      <c r="A4103" s="6">
        <f>4101</f>
        <v>4101</v>
      </c>
      <c r="B4103" s="6" t="s">
        <v>10718</v>
      </c>
      <c r="C4103" s="6" t="s">
        <v>12</v>
      </c>
      <c r="D4103" s="6" t="s">
        <v>9344</v>
      </c>
      <c r="E4103" s="6" t="s">
        <v>10716</v>
      </c>
      <c r="F4103" s="6" t="s">
        <v>10719</v>
      </c>
      <c r="G4103" s="6" t="s">
        <v>16</v>
      </c>
      <c r="H4103" s="5">
        <v>1</v>
      </c>
      <c r="I4103" s="6" t="s">
        <v>10719</v>
      </c>
      <c r="J4103" s="5">
        <v>320</v>
      </c>
    </row>
    <row r="4104" s="2" customFormat="1" spans="1:10">
      <c r="A4104" s="6">
        <f>4102</f>
        <v>4102</v>
      </c>
      <c r="B4104" s="6" t="s">
        <v>10720</v>
      </c>
      <c r="C4104" s="6" t="s">
        <v>12</v>
      </c>
      <c r="D4104" s="6" t="s">
        <v>9344</v>
      </c>
      <c r="E4104" s="6" t="s">
        <v>10716</v>
      </c>
      <c r="F4104" s="6" t="s">
        <v>10721</v>
      </c>
      <c r="G4104" s="6" t="s">
        <v>16</v>
      </c>
      <c r="H4104" s="5">
        <v>1</v>
      </c>
      <c r="I4104" s="6" t="s">
        <v>10721</v>
      </c>
      <c r="J4104" s="5">
        <v>260</v>
      </c>
    </row>
    <row r="4105" s="2" customFormat="1" spans="1:10">
      <c r="A4105" s="6">
        <f>4103</f>
        <v>4103</v>
      </c>
      <c r="B4105" s="6" t="s">
        <v>10722</v>
      </c>
      <c r="C4105" s="6" t="s">
        <v>12</v>
      </c>
      <c r="D4105" s="6" t="s">
        <v>9344</v>
      </c>
      <c r="E4105" s="6" t="s">
        <v>10716</v>
      </c>
      <c r="F4105" s="6" t="s">
        <v>4600</v>
      </c>
      <c r="G4105" s="6" t="s">
        <v>16</v>
      </c>
      <c r="H4105" s="5">
        <v>2</v>
      </c>
      <c r="I4105" s="6" t="s">
        <v>10723</v>
      </c>
      <c r="J4105" s="5">
        <v>370</v>
      </c>
    </row>
    <row r="4106" s="2" customFormat="1" spans="1:10">
      <c r="A4106" s="6">
        <f>4104</f>
        <v>4104</v>
      </c>
      <c r="B4106" s="6" t="s">
        <v>10724</v>
      </c>
      <c r="C4106" s="6" t="s">
        <v>12</v>
      </c>
      <c r="D4106" s="6" t="s">
        <v>9344</v>
      </c>
      <c r="E4106" s="6" t="s">
        <v>10716</v>
      </c>
      <c r="F4106" s="6" t="s">
        <v>10725</v>
      </c>
      <c r="G4106" s="6" t="s">
        <v>16</v>
      </c>
      <c r="H4106" s="5">
        <v>3</v>
      </c>
      <c r="I4106" s="6" t="s">
        <v>10726</v>
      </c>
      <c r="J4106" s="5">
        <v>920</v>
      </c>
    </row>
    <row r="4107" s="2" customFormat="1" spans="1:10">
      <c r="A4107" s="6">
        <f>4105</f>
        <v>4105</v>
      </c>
      <c r="B4107" s="6" t="s">
        <v>10727</v>
      </c>
      <c r="C4107" s="6" t="s">
        <v>12</v>
      </c>
      <c r="D4107" s="6" t="s">
        <v>9344</v>
      </c>
      <c r="E4107" s="6" t="s">
        <v>10716</v>
      </c>
      <c r="F4107" s="6" t="s">
        <v>10728</v>
      </c>
      <c r="G4107" s="6" t="s">
        <v>16</v>
      </c>
      <c r="H4107" s="5">
        <v>2</v>
      </c>
      <c r="I4107" s="6" t="s">
        <v>10729</v>
      </c>
      <c r="J4107" s="5">
        <v>680</v>
      </c>
    </row>
    <row r="4108" s="2" customFormat="1" spans="1:10">
      <c r="A4108" s="6">
        <f>4106</f>
        <v>4106</v>
      </c>
      <c r="B4108" s="6" t="s">
        <v>10730</v>
      </c>
      <c r="C4108" s="6" t="s">
        <v>12</v>
      </c>
      <c r="D4108" s="6" t="s">
        <v>9344</v>
      </c>
      <c r="E4108" s="6" t="s">
        <v>10716</v>
      </c>
      <c r="F4108" s="6" t="s">
        <v>10731</v>
      </c>
      <c r="G4108" s="6" t="s">
        <v>16</v>
      </c>
      <c r="H4108" s="5">
        <v>3</v>
      </c>
      <c r="I4108" s="6" t="s">
        <v>10732</v>
      </c>
      <c r="J4108" s="5">
        <v>1100</v>
      </c>
    </row>
    <row r="4109" s="2" customFormat="1" spans="1:10">
      <c r="A4109" s="6">
        <f>4107</f>
        <v>4107</v>
      </c>
      <c r="B4109" s="6" t="s">
        <v>10733</v>
      </c>
      <c r="C4109" s="6" t="s">
        <v>12</v>
      </c>
      <c r="D4109" s="6" t="s">
        <v>9344</v>
      </c>
      <c r="E4109" s="6" t="s">
        <v>10716</v>
      </c>
      <c r="F4109" s="6" t="s">
        <v>10734</v>
      </c>
      <c r="G4109" s="6" t="s">
        <v>16</v>
      </c>
      <c r="H4109" s="5">
        <v>1</v>
      </c>
      <c r="I4109" s="6" t="s">
        <v>10734</v>
      </c>
      <c r="J4109" s="5">
        <v>265</v>
      </c>
    </row>
    <row r="4110" s="2" customFormat="1" ht="27" spans="1:10">
      <c r="A4110" s="6">
        <f>4108</f>
        <v>4108</v>
      </c>
      <c r="B4110" s="6" t="s">
        <v>10735</v>
      </c>
      <c r="C4110" s="6" t="s">
        <v>12</v>
      </c>
      <c r="D4110" s="6" t="s">
        <v>9344</v>
      </c>
      <c r="E4110" s="6" t="s">
        <v>10716</v>
      </c>
      <c r="F4110" s="6" t="s">
        <v>10736</v>
      </c>
      <c r="G4110" s="6" t="s">
        <v>16</v>
      </c>
      <c r="H4110" s="5">
        <v>4</v>
      </c>
      <c r="I4110" s="6" t="s">
        <v>10737</v>
      </c>
      <c r="J4110" s="5">
        <v>1120</v>
      </c>
    </row>
    <row r="4111" s="2" customFormat="1" spans="1:10">
      <c r="A4111" s="6">
        <f>4109</f>
        <v>4109</v>
      </c>
      <c r="B4111" s="6" t="s">
        <v>10738</v>
      </c>
      <c r="C4111" s="6" t="s">
        <v>12</v>
      </c>
      <c r="D4111" s="6" t="s">
        <v>9344</v>
      </c>
      <c r="E4111" s="6" t="s">
        <v>10716</v>
      </c>
      <c r="F4111" s="6" t="s">
        <v>10739</v>
      </c>
      <c r="G4111" s="6" t="s">
        <v>16</v>
      </c>
      <c r="H4111" s="5">
        <v>1</v>
      </c>
      <c r="I4111" s="6" t="s">
        <v>10739</v>
      </c>
      <c r="J4111" s="5">
        <v>440</v>
      </c>
    </row>
    <row r="4112" s="2" customFormat="1" spans="1:10">
      <c r="A4112" s="6">
        <f>4110</f>
        <v>4110</v>
      </c>
      <c r="B4112" s="6" t="s">
        <v>10740</v>
      </c>
      <c r="C4112" s="6" t="s">
        <v>12</v>
      </c>
      <c r="D4112" s="6" t="s">
        <v>9344</v>
      </c>
      <c r="E4112" s="6" t="s">
        <v>10716</v>
      </c>
      <c r="F4112" s="6" t="s">
        <v>10741</v>
      </c>
      <c r="G4112" s="6" t="s">
        <v>16</v>
      </c>
      <c r="H4112" s="5">
        <v>1</v>
      </c>
      <c r="I4112" s="6" t="s">
        <v>10741</v>
      </c>
      <c r="J4112" s="5">
        <v>460</v>
      </c>
    </row>
    <row r="4113" s="2" customFormat="1" spans="1:10">
      <c r="A4113" s="6">
        <f>4111</f>
        <v>4111</v>
      </c>
      <c r="B4113" s="6" t="s">
        <v>10742</v>
      </c>
      <c r="C4113" s="6" t="s">
        <v>12</v>
      </c>
      <c r="D4113" s="6" t="s">
        <v>9344</v>
      </c>
      <c r="E4113" s="6" t="s">
        <v>10716</v>
      </c>
      <c r="F4113" s="6" t="s">
        <v>10743</v>
      </c>
      <c r="G4113" s="6" t="s">
        <v>16</v>
      </c>
      <c r="H4113" s="5">
        <v>2</v>
      </c>
      <c r="I4113" s="6" t="s">
        <v>10744</v>
      </c>
      <c r="J4113" s="5">
        <v>530</v>
      </c>
    </row>
    <row r="4114" s="2" customFormat="1" spans="1:10">
      <c r="A4114" s="6">
        <f>4112</f>
        <v>4112</v>
      </c>
      <c r="B4114" s="6" t="s">
        <v>10745</v>
      </c>
      <c r="C4114" s="6" t="s">
        <v>12</v>
      </c>
      <c r="D4114" s="6" t="s">
        <v>9344</v>
      </c>
      <c r="E4114" s="6" t="s">
        <v>10716</v>
      </c>
      <c r="F4114" s="6" t="s">
        <v>10746</v>
      </c>
      <c r="G4114" s="6" t="s">
        <v>16</v>
      </c>
      <c r="H4114" s="5">
        <v>2</v>
      </c>
      <c r="I4114" s="6" t="s">
        <v>10747</v>
      </c>
      <c r="J4114" s="5">
        <v>343</v>
      </c>
    </row>
    <row r="4115" s="2" customFormat="1" spans="1:10">
      <c r="A4115" s="6">
        <f>4113</f>
        <v>4113</v>
      </c>
      <c r="B4115" s="6" t="s">
        <v>10748</v>
      </c>
      <c r="C4115" s="6" t="s">
        <v>12</v>
      </c>
      <c r="D4115" s="6" t="s">
        <v>9344</v>
      </c>
      <c r="E4115" s="6" t="s">
        <v>10716</v>
      </c>
      <c r="F4115" s="6" t="s">
        <v>10749</v>
      </c>
      <c r="G4115" s="6" t="s">
        <v>16</v>
      </c>
      <c r="H4115" s="5">
        <v>1</v>
      </c>
      <c r="I4115" s="6" t="s">
        <v>10749</v>
      </c>
      <c r="J4115" s="5">
        <v>460</v>
      </c>
    </row>
    <row r="4116" s="2" customFormat="1" spans="1:10">
      <c r="A4116" s="6">
        <f>4114</f>
        <v>4114</v>
      </c>
      <c r="B4116" s="6" t="s">
        <v>10750</v>
      </c>
      <c r="C4116" s="6" t="s">
        <v>12</v>
      </c>
      <c r="D4116" s="6" t="s">
        <v>9344</v>
      </c>
      <c r="E4116" s="6" t="s">
        <v>10716</v>
      </c>
      <c r="F4116" s="6" t="s">
        <v>10751</v>
      </c>
      <c r="G4116" s="6" t="s">
        <v>16</v>
      </c>
      <c r="H4116" s="5">
        <v>2</v>
      </c>
      <c r="I4116" s="6" t="s">
        <v>10752</v>
      </c>
      <c r="J4116" s="5">
        <v>318</v>
      </c>
    </row>
    <row r="4117" s="2" customFormat="1" spans="1:10">
      <c r="A4117" s="6">
        <f>4115</f>
        <v>4115</v>
      </c>
      <c r="B4117" s="6" t="s">
        <v>10753</v>
      </c>
      <c r="C4117" s="6" t="s">
        <v>12</v>
      </c>
      <c r="D4117" s="6" t="s">
        <v>9344</v>
      </c>
      <c r="E4117" s="6" t="s">
        <v>10716</v>
      </c>
      <c r="F4117" s="6" t="s">
        <v>10754</v>
      </c>
      <c r="G4117" s="6" t="s">
        <v>16</v>
      </c>
      <c r="H4117" s="5">
        <v>1</v>
      </c>
      <c r="I4117" s="6" t="s">
        <v>10754</v>
      </c>
      <c r="J4117" s="5">
        <v>265</v>
      </c>
    </row>
    <row r="4118" s="2" customFormat="1" spans="1:10">
      <c r="A4118" s="6">
        <f>4116</f>
        <v>4116</v>
      </c>
      <c r="B4118" s="6" t="s">
        <v>10755</v>
      </c>
      <c r="C4118" s="6" t="s">
        <v>12</v>
      </c>
      <c r="D4118" s="6" t="s">
        <v>9344</v>
      </c>
      <c r="E4118" s="6" t="s">
        <v>10716</v>
      </c>
      <c r="F4118" s="6" t="s">
        <v>10756</v>
      </c>
      <c r="G4118" s="6" t="s">
        <v>16</v>
      </c>
      <c r="H4118" s="5">
        <v>1</v>
      </c>
      <c r="I4118" s="6" t="s">
        <v>10756</v>
      </c>
      <c r="J4118" s="5">
        <v>238</v>
      </c>
    </row>
    <row r="4119" s="2" customFormat="1" spans="1:10">
      <c r="A4119" s="6">
        <f>4117</f>
        <v>4117</v>
      </c>
      <c r="B4119" s="6" t="s">
        <v>10757</v>
      </c>
      <c r="C4119" s="6" t="s">
        <v>12</v>
      </c>
      <c r="D4119" s="6" t="s">
        <v>9344</v>
      </c>
      <c r="E4119" s="6" t="s">
        <v>10716</v>
      </c>
      <c r="F4119" s="6" t="s">
        <v>10758</v>
      </c>
      <c r="G4119" s="6" t="s">
        <v>16</v>
      </c>
      <c r="H4119" s="5">
        <v>1</v>
      </c>
      <c r="I4119" s="6" t="s">
        <v>10758</v>
      </c>
      <c r="J4119" s="5">
        <v>238</v>
      </c>
    </row>
    <row r="4120" s="2" customFormat="1" spans="1:10">
      <c r="A4120" s="6">
        <f>4118</f>
        <v>4118</v>
      </c>
      <c r="B4120" s="6" t="s">
        <v>10759</v>
      </c>
      <c r="C4120" s="6" t="s">
        <v>12</v>
      </c>
      <c r="D4120" s="6" t="s">
        <v>9344</v>
      </c>
      <c r="E4120" s="6" t="s">
        <v>10716</v>
      </c>
      <c r="F4120" s="6" t="s">
        <v>10760</v>
      </c>
      <c r="G4120" s="6" t="s">
        <v>16</v>
      </c>
      <c r="H4120" s="5">
        <v>2</v>
      </c>
      <c r="I4120" s="6" t="s">
        <v>10761</v>
      </c>
      <c r="J4120" s="5">
        <v>400</v>
      </c>
    </row>
    <row r="4121" s="2" customFormat="1" spans="1:10">
      <c r="A4121" s="6">
        <f>4119</f>
        <v>4119</v>
      </c>
      <c r="B4121" s="6" t="s">
        <v>10762</v>
      </c>
      <c r="C4121" s="6" t="s">
        <v>12</v>
      </c>
      <c r="D4121" s="6" t="s">
        <v>9344</v>
      </c>
      <c r="E4121" s="6" t="s">
        <v>10716</v>
      </c>
      <c r="F4121" s="6" t="s">
        <v>10763</v>
      </c>
      <c r="G4121" s="6" t="s">
        <v>16</v>
      </c>
      <c r="H4121" s="5">
        <v>1</v>
      </c>
      <c r="I4121" s="6" t="s">
        <v>10763</v>
      </c>
      <c r="J4121" s="5">
        <v>265</v>
      </c>
    </row>
    <row r="4122" s="2" customFormat="1" ht="27" spans="1:10">
      <c r="A4122" s="6">
        <f>4120</f>
        <v>4120</v>
      </c>
      <c r="B4122" s="6" t="s">
        <v>10764</v>
      </c>
      <c r="C4122" s="6" t="s">
        <v>12</v>
      </c>
      <c r="D4122" s="6" t="s">
        <v>9344</v>
      </c>
      <c r="E4122" s="6" t="s">
        <v>10716</v>
      </c>
      <c r="F4122" s="6" t="s">
        <v>10765</v>
      </c>
      <c r="G4122" s="6" t="s">
        <v>16</v>
      </c>
      <c r="H4122" s="5">
        <v>5</v>
      </c>
      <c r="I4122" s="6" t="s">
        <v>10766</v>
      </c>
      <c r="J4122" s="5">
        <v>478</v>
      </c>
    </row>
    <row r="4123" s="2" customFormat="1" spans="1:10">
      <c r="A4123" s="6">
        <f>4121</f>
        <v>4121</v>
      </c>
      <c r="B4123" s="6" t="s">
        <v>10767</v>
      </c>
      <c r="C4123" s="6" t="s">
        <v>12</v>
      </c>
      <c r="D4123" s="6" t="s">
        <v>9344</v>
      </c>
      <c r="E4123" s="6" t="s">
        <v>10716</v>
      </c>
      <c r="F4123" s="6" t="s">
        <v>10768</v>
      </c>
      <c r="G4123" s="6" t="s">
        <v>16</v>
      </c>
      <c r="H4123" s="5">
        <v>1</v>
      </c>
      <c r="I4123" s="6" t="s">
        <v>10768</v>
      </c>
      <c r="J4123" s="5">
        <v>243</v>
      </c>
    </row>
    <row r="4124" s="2" customFormat="1" spans="1:10">
      <c r="A4124" s="6">
        <f>4122</f>
        <v>4122</v>
      </c>
      <c r="B4124" s="6" t="s">
        <v>10769</v>
      </c>
      <c r="C4124" s="6" t="s">
        <v>12</v>
      </c>
      <c r="D4124" s="6" t="s">
        <v>9344</v>
      </c>
      <c r="E4124" s="6" t="s">
        <v>10716</v>
      </c>
      <c r="F4124" s="6" t="s">
        <v>10770</v>
      </c>
      <c r="G4124" s="6" t="s">
        <v>16</v>
      </c>
      <c r="H4124" s="5">
        <v>1</v>
      </c>
      <c r="I4124" s="6" t="s">
        <v>10770</v>
      </c>
      <c r="J4124" s="5">
        <v>265</v>
      </c>
    </row>
    <row r="4125" s="2" customFormat="1" spans="1:10">
      <c r="A4125" s="6">
        <f>4123</f>
        <v>4123</v>
      </c>
      <c r="B4125" s="6" t="s">
        <v>10771</v>
      </c>
      <c r="C4125" s="6" t="s">
        <v>12</v>
      </c>
      <c r="D4125" s="6" t="s">
        <v>9344</v>
      </c>
      <c r="E4125" s="6" t="s">
        <v>10716</v>
      </c>
      <c r="F4125" s="6" t="s">
        <v>10772</v>
      </c>
      <c r="G4125" s="6" t="s">
        <v>16</v>
      </c>
      <c r="H4125" s="5">
        <v>1</v>
      </c>
      <c r="I4125" s="6" t="s">
        <v>10772</v>
      </c>
      <c r="J4125" s="5">
        <v>440</v>
      </c>
    </row>
    <row r="4126" s="2" customFormat="1" spans="1:10">
      <c r="A4126" s="6">
        <f>4124</f>
        <v>4124</v>
      </c>
      <c r="B4126" s="6" t="s">
        <v>10773</v>
      </c>
      <c r="C4126" s="6" t="s">
        <v>12</v>
      </c>
      <c r="D4126" s="6" t="s">
        <v>9344</v>
      </c>
      <c r="E4126" s="6" t="s">
        <v>10716</v>
      </c>
      <c r="F4126" s="6" t="s">
        <v>10774</v>
      </c>
      <c r="G4126" s="6" t="s">
        <v>16</v>
      </c>
      <c r="H4126" s="5">
        <v>1</v>
      </c>
      <c r="I4126" s="6" t="s">
        <v>10774</v>
      </c>
      <c r="J4126" s="5">
        <v>377</v>
      </c>
    </row>
    <row r="4127" s="2" customFormat="1" ht="27" spans="1:10">
      <c r="A4127" s="6">
        <f>4125</f>
        <v>4125</v>
      </c>
      <c r="B4127" s="6" t="s">
        <v>10775</v>
      </c>
      <c r="C4127" s="6" t="s">
        <v>12</v>
      </c>
      <c r="D4127" s="6" t="s">
        <v>9344</v>
      </c>
      <c r="E4127" s="6" t="s">
        <v>10716</v>
      </c>
      <c r="F4127" s="6" t="s">
        <v>10776</v>
      </c>
      <c r="G4127" s="6" t="s">
        <v>16</v>
      </c>
      <c r="H4127" s="5">
        <v>4</v>
      </c>
      <c r="I4127" s="6" t="s">
        <v>10777</v>
      </c>
      <c r="J4127" s="5">
        <v>520</v>
      </c>
    </row>
    <row r="4128" s="2" customFormat="1" spans="1:10">
      <c r="A4128" s="6">
        <f>4126</f>
        <v>4126</v>
      </c>
      <c r="B4128" s="6" t="s">
        <v>10778</v>
      </c>
      <c r="C4128" s="6" t="s">
        <v>12</v>
      </c>
      <c r="D4128" s="6" t="s">
        <v>9344</v>
      </c>
      <c r="E4128" s="6" t="s">
        <v>10716</v>
      </c>
      <c r="F4128" s="6" t="s">
        <v>10779</v>
      </c>
      <c r="G4128" s="6" t="s">
        <v>16</v>
      </c>
      <c r="H4128" s="5">
        <v>1</v>
      </c>
      <c r="I4128" s="6" t="s">
        <v>10779</v>
      </c>
      <c r="J4128" s="5">
        <v>265</v>
      </c>
    </row>
    <row r="4129" s="2" customFormat="1" spans="1:10">
      <c r="A4129" s="6">
        <f>4127</f>
        <v>4127</v>
      </c>
      <c r="B4129" s="6" t="s">
        <v>10780</v>
      </c>
      <c r="C4129" s="6" t="s">
        <v>12</v>
      </c>
      <c r="D4129" s="6" t="s">
        <v>9344</v>
      </c>
      <c r="E4129" s="6" t="s">
        <v>10716</v>
      </c>
      <c r="F4129" s="6" t="s">
        <v>10781</v>
      </c>
      <c r="G4129" s="6" t="s">
        <v>16</v>
      </c>
      <c r="H4129" s="5">
        <v>1</v>
      </c>
      <c r="I4129" s="6" t="s">
        <v>10781</v>
      </c>
      <c r="J4129" s="5">
        <v>243</v>
      </c>
    </row>
    <row r="4130" s="2" customFormat="1" spans="1:10">
      <c r="A4130" s="6">
        <f>4128</f>
        <v>4128</v>
      </c>
      <c r="B4130" s="6" t="s">
        <v>10782</v>
      </c>
      <c r="C4130" s="6" t="s">
        <v>12</v>
      </c>
      <c r="D4130" s="6" t="s">
        <v>9344</v>
      </c>
      <c r="E4130" s="6" t="s">
        <v>10716</v>
      </c>
      <c r="F4130" s="6" t="s">
        <v>10783</v>
      </c>
      <c r="G4130" s="6" t="s">
        <v>16</v>
      </c>
      <c r="H4130" s="5">
        <v>3</v>
      </c>
      <c r="I4130" s="6" t="s">
        <v>10784</v>
      </c>
      <c r="J4130" s="5">
        <v>380</v>
      </c>
    </row>
    <row r="4131" s="2" customFormat="1" spans="1:10">
      <c r="A4131" s="6">
        <f>4129</f>
        <v>4129</v>
      </c>
      <c r="B4131" s="6" t="s">
        <v>10785</v>
      </c>
      <c r="C4131" s="6" t="s">
        <v>12</v>
      </c>
      <c r="D4131" s="6" t="s">
        <v>9344</v>
      </c>
      <c r="E4131" s="6" t="s">
        <v>10716</v>
      </c>
      <c r="F4131" s="6" t="s">
        <v>10786</v>
      </c>
      <c r="G4131" s="6" t="s">
        <v>16</v>
      </c>
      <c r="H4131" s="5">
        <v>2</v>
      </c>
      <c r="I4131" s="6" t="s">
        <v>10787</v>
      </c>
      <c r="J4131" s="5">
        <v>662</v>
      </c>
    </row>
    <row r="4132" s="2" customFormat="1" spans="1:10">
      <c r="A4132" s="6">
        <f>4130</f>
        <v>4130</v>
      </c>
      <c r="B4132" s="6" t="s">
        <v>10788</v>
      </c>
      <c r="C4132" s="6" t="s">
        <v>12</v>
      </c>
      <c r="D4132" s="6" t="s">
        <v>9344</v>
      </c>
      <c r="E4132" s="6" t="s">
        <v>10716</v>
      </c>
      <c r="F4132" s="6" t="s">
        <v>10789</v>
      </c>
      <c r="G4132" s="6" t="s">
        <v>16</v>
      </c>
      <c r="H4132" s="5">
        <v>1</v>
      </c>
      <c r="I4132" s="6" t="s">
        <v>10789</v>
      </c>
      <c r="J4132" s="5">
        <v>238</v>
      </c>
    </row>
    <row r="4133" s="2" customFormat="1" ht="27" spans="1:10">
      <c r="A4133" s="6">
        <f>4131</f>
        <v>4131</v>
      </c>
      <c r="B4133" s="6" t="s">
        <v>10790</v>
      </c>
      <c r="C4133" s="6" t="s">
        <v>12</v>
      </c>
      <c r="D4133" s="6" t="s">
        <v>9344</v>
      </c>
      <c r="E4133" s="6" t="s">
        <v>10716</v>
      </c>
      <c r="F4133" s="6" t="s">
        <v>10791</v>
      </c>
      <c r="G4133" s="6" t="s">
        <v>16</v>
      </c>
      <c r="H4133" s="5">
        <v>4</v>
      </c>
      <c r="I4133" s="6" t="s">
        <v>10792</v>
      </c>
      <c r="J4133" s="5">
        <v>974</v>
      </c>
    </row>
    <row r="4134" s="2" customFormat="1" spans="1:10">
      <c r="A4134" s="6">
        <f>4132</f>
        <v>4132</v>
      </c>
      <c r="B4134" s="6" t="s">
        <v>10793</v>
      </c>
      <c r="C4134" s="6" t="s">
        <v>12</v>
      </c>
      <c r="D4134" s="6" t="s">
        <v>9344</v>
      </c>
      <c r="E4134" s="6" t="s">
        <v>10716</v>
      </c>
      <c r="F4134" s="6" t="s">
        <v>10794</v>
      </c>
      <c r="G4134" s="6" t="s">
        <v>16</v>
      </c>
      <c r="H4134" s="5">
        <v>3</v>
      </c>
      <c r="I4134" s="6" t="s">
        <v>10795</v>
      </c>
      <c r="J4134" s="5">
        <v>510</v>
      </c>
    </row>
    <row r="4135" s="2" customFormat="1" spans="1:10">
      <c r="A4135" s="6">
        <f>4133</f>
        <v>4133</v>
      </c>
      <c r="B4135" s="6" t="s">
        <v>10796</v>
      </c>
      <c r="C4135" s="6" t="s">
        <v>12</v>
      </c>
      <c r="D4135" s="6" t="s">
        <v>9344</v>
      </c>
      <c r="E4135" s="6" t="s">
        <v>10716</v>
      </c>
      <c r="F4135" s="6" t="s">
        <v>10797</v>
      </c>
      <c r="G4135" s="6" t="s">
        <v>16</v>
      </c>
      <c r="H4135" s="5">
        <v>1</v>
      </c>
      <c r="I4135" s="6" t="s">
        <v>10797</v>
      </c>
      <c r="J4135" s="5">
        <v>265</v>
      </c>
    </row>
    <row r="4136" s="2" customFormat="1" spans="1:10">
      <c r="A4136" s="6">
        <f>4134</f>
        <v>4134</v>
      </c>
      <c r="B4136" s="6" t="s">
        <v>10798</v>
      </c>
      <c r="C4136" s="6" t="s">
        <v>12</v>
      </c>
      <c r="D4136" s="6" t="s">
        <v>9344</v>
      </c>
      <c r="E4136" s="6" t="s">
        <v>10716</v>
      </c>
      <c r="F4136" s="6" t="s">
        <v>10799</v>
      </c>
      <c r="G4136" s="6" t="s">
        <v>16</v>
      </c>
      <c r="H4136" s="5">
        <v>2</v>
      </c>
      <c r="I4136" s="6" t="s">
        <v>10800</v>
      </c>
      <c r="J4136" s="5">
        <v>504</v>
      </c>
    </row>
    <row r="4137" s="2" customFormat="1" ht="27" spans="1:10">
      <c r="A4137" s="6">
        <f>4135</f>
        <v>4135</v>
      </c>
      <c r="B4137" s="6" t="s">
        <v>10801</v>
      </c>
      <c r="C4137" s="6" t="s">
        <v>12</v>
      </c>
      <c r="D4137" s="6" t="s">
        <v>9344</v>
      </c>
      <c r="E4137" s="6" t="s">
        <v>10716</v>
      </c>
      <c r="F4137" s="6" t="s">
        <v>10802</v>
      </c>
      <c r="G4137" s="6" t="s">
        <v>16</v>
      </c>
      <c r="H4137" s="5">
        <v>5</v>
      </c>
      <c r="I4137" s="6" t="s">
        <v>10803</v>
      </c>
      <c r="J4137" s="5">
        <v>1010</v>
      </c>
    </row>
    <row r="4138" s="2" customFormat="1" spans="1:10">
      <c r="A4138" s="6">
        <f>4136</f>
        <v>4136</v>
      </c>
      <c r="B4138" s="6" t="s">
        <v>10804</v>
      </c>
      <c r="C4138" s="6" t="s">
        <v>12</v>
      </c>
      <c r="D4138" s="6" t="s">
        <v>9344</v>
      </c>
      <c r="E4138" s="6" t="s">
        <v>10716</v>
      </c>
      <c r="F4138" s="6" t="s">
        <v>10805</v>
      </c>
      <c r="G4138" s="6" t="s">
        <v>16</v>
      </c>
      <c r="H4138" s="5">
        <v>1</v>
      </c>
      <c r="I4138" s="6" t="s">
        <v>10805</v>
      </c>
      <c r="J4138" s="5">
        <v>380</v>
      </c>
    </row>
    <row r="4139" s="2" customFormat="1" spans="1:10">
      <c r="A4139" s="6">
        <f>4137</f>
        <v>4137</v>
      </c>
      <c r="B4139" s="6" t="s">
        <v>10806</v>
      </c>
      <c r="C4139" s="6" t="s">
        <v>12</v>
      </c>
      <c r="D4139" s="6" t="s">
        <v>9344</v>
      </c>
      <c r="E4139" s="6" t="s">
        <v>10716</v>
      </c>
      <c r="F4139" s="6" t="s">
        <v>10807</v>
      </c>
      <c r="G4139" s="6" t="s">
        <v>16</v>
      </c>
      <c r="H4139" s="5">
        <v>1</v>
      </c>
      <c r="I4139" s="6" t="s">
        <v>10807</v>
      </c>
      <c r="J4139" s="5">
        <v>243</v>
      </c>
    </row>
    <row r="4140" s="2" customFormat="1" spans="1:10">
      <c r="A4140" s="6">
        <f>4138</f>
        <v>4138</v>
      </c>
      <c r="B4140" s="6" t="s">
        <v>10808</v>
      </c>
      <c r="C4140" s="6" t="s">
        <v>12</v>
      </c>
      <c r="D4140" s="6" t="s">
        <v>9344</v>
      </c>
      <c r="E4140" s="6" t="s">
        <v>10716</v>
      </c>
      <c r="F4140" s="6" t="s">
        <v>10809</v>
      </c>
      <c r="G4140" s="6" t="s">
        <v>16</v>
      </c>
      <c r="H4140" s="5">
        <v>1</v>
      </c>
      <c r="I4140" s="6" t="s">
        <v>10809</v>
      </c>
      <c r="J4140" s="5">
        <v>362</v>
      </c>
    </row>
    <row r="4141" s="2" customFormat="1" spans="1:10">
      <c r="A4141" s="6">
        <f>4139</f>
        <v>4139</v>
      </c>
      <c r="B4141" s="6" t="s">
        <v>10810</v>
      </c>
      <c r="C4141" s="6" t="s">
        <v>12</v>
      </c>
      <c r="D4141" s="6" t="s">
        <v>9344</v>
      </c>
      <c r="E4141" s="6" t="s">
        <v>10716</v>
      </c>
      <c r="F4141" s="6" t="s">
        <v>6791</v>
      </c>
      <c r="G4141" s="6" t="s">
        <v>16</v>
      </c>
      <c r="H4141" s="5">
        <v>1</v>
      </c>
      <c r="I4141" s="6" t="s">
        <v>6791</v>
      </c>
      <c r="J4141" s="5">
        <v>238</v>
      </c>
    </row>
    <row r="4142" s="2" customFormat="1" spans="1:10">
      <c r="A4142" s="6">
        <f>4140</f>
        <v>4140</v>
      </c>
      <c r="B4142" s="6" t="s">
        <v>10811</v>
      </c>
      <c r="C4142" s="6" t="s">
        <v>12</v>
      </c>
      <c r="D4142" s="6" t="s">
        <v>9344</v>
      </c>
      <c r="E4142" s="6" t="s">
        <v>10716</v>
      </c>
      <c r="F4142" s="6" t="s">
        <v>10812</v>
      </c>
      <c r="G4142" s="6" t="s">
        <v>16</v>
      </c>
      <c r="H4142" s="5">
        <v>1</v>
      </c>
      <c r="I4142" s="6" t="s">
        <v>10812</v>
      </c>
      <c r="J4142" s="5">
        <v>243</v>
      </c>
    </row>
    <row r="4143" s="2" customFormat="1" spans="1:10">
      <c r="A4143" s="6">
        <f>4141</f>
        <v>4141</v>
      </c>
      <c r="B4143" s="6" t="s">
        <v>10813</v>
      </c>
      <c r="C4143" s="6" t="s">
        <v>12</v>
      </c>
      <c r="D4143" s="6" t="s">
        <v>9344</v>
      </c>
      <c r="E4143" s="6" t="s">
        <v>10716</v>
      </c>
      <c r="F4143" s="6" t="s">
        <v>10814</v>
      </c>
      <c r="G4143" s="6" t="s">
        <v>16</v>
      </c>
      <c r="H4143" s="5">
        <v>1</v>
      </c>
      <c r="I4143" s="6" t="s">
        <v>10814</v>
      </c>
      <c r="J4143" s="5">
        <v>265</v>
      </c>
    </row>
    <row r="4144" s="2" customFormat="1" ht="27" spans="1:10">
      <c r="A4144" s="6">
        <f>4142</f>
        <v>4142</v>
      </c>
      <c r="B4144" s="6" t="s">
        <v>10815</v>
      </c>
      <c r="C4144" s="6" t="s">
        <v>12</v>
      </c>
      <c r="D4144" s="6" t="s">
        <v>9344</v>
      </c>
      <c r="E4144" s="6" t="s">
        <v>10716</v>
      </c>
      <c r="F4144" s="6" t="s">
        <v>10816</v>
      </c>
      <c r="G4144" s="6" t="s">
        <v>16</v>
      </c>
      <c r="H4144" s="5">
        <v>4</v>
      </c>
      <c r="I4144" s="6" t="s">
        <v>10817</v>
      </c>
      <c r="J4144" s="5">
        <v>740</v>
      </c>
    </row>
    <row r="4145" s="2" customFormat="1" ht="27" spans="1:10">
      <c r="A4145" s="6">
        <f>4143</f>
        <v>4143</v>
      </c>
      <c r="B4145" s="6" t="s">
        <v>10818</v>
      </c>
      <c r="C4145" s="6" t="s">
        <v>12</v>
      </c>
      <c r="D4145" s="6" t="s">
        <v>9344</v>
      </c>
      <c r="E4145" s="6" t="s">
        <v>10716</v>
      </c>
      <c r="F4145" s="6" t="s">
        <v>10819</v>
      </c>
      <c r="G4145" s="6" t="s">
        <v>16</v>
      </c>
      <c r="H4145" s="5">
        <v>5</v>
      </c>
      <c r="I4145" s="6" t="s">
        <v>10820</v>
      </c>
      <c r="J4145" s="5">
        <v>550</v>
      </c>
    </row>
    <row r="4146" s="2" customFormat="1" ht="27" spans="1:10">
      <c r="A4146" s="6">
        <f>4144</f>
        <v>4144</v>
      </c>
      <c r="B4146" s="6" t="s">
        <v>10821</v>
      </c>
      <c r="C4146" s="6" t="s">
        <v>12</v>
      </c>
      <c r="D4146" s="6" t="s">
        <v>9344</v>
      </c>
      <c r="E4146" s="6" t="s">
        <v>10716</v>
      </c>
      <c r="F4146" s="6" t="s">
        <v>10822</v>
      </c>
      <c r="G4146" s="6" t="s">
        <v>16</v>
      </c>
      <c r="H4146" s="5">
        <v>4</v>
      </c>
      <c r="I4146" s="6" t="s">
        <v>10823</v>
      </c>
      <c r="J4146" s="5">
        <v>542</v>
      </c>
    </row>
    <row r="4147" s="2" customFormat="1" spans="1:10">
      <c r="A4147" s="6">
        <f>4145</f>
        <v>4145</v>
      </c>
      <c r="B4147" s="6" t="s">
        <v>10824</v>
      </c>
      <c r="C4147" s="6" t="s">
        <v>12</v>
      </c>
      <c r="D4147" s="6" t="s">
        <v>9344</v>
      </c>
      <c r="E4147" s="6" t="s">
        <v>10716</v>
      </c>
      <c r="F4147" s="6" t="s">
        <v>10825</v>
      </c>
      <c r="G4147" s="6" t="s">
        <v>16</v>
      </c>
      <c r="H4147" s="5">
        <v>3</v>
      </c>
      <c r="I4147" s="6" t="s">
        <v>10826</v>
      </c>
      <c r="J4147" s="5">
        <v>770</v>
      </c>
    </row>
    <row r="4148" s="2" customFormat="1" spans="1:10">
      <c r="A4148" s="6">
        <f>4146</f>
        <v>4146</v>
      </c>
      <c r="B4148" s="6" t="s">
        <v>10827</v>
      </c>
      <c r="C4148" s="6" t="s">
        <v>12</v>
      </c>
      <c r="D4148" s="6" t="s">
        <v>9344</v>
      </c>
      <c r="E4148" s="6" t="s">
        <v>10716</v>
      </c>
      <c r="F4148" s="6" t="s">
        <v>10828</v>
      </c>
      <c r="G4148" s="6" t="s">
        <v>16</v>
      </c>
      <c r="H4148" s="5">
        <v>3</v>
      </c>
      <c r="I4148" s="6" t="s">
        <v>10829</v>
      </c>
      <c r="J4148" s="5">
        <v>493</v>
      </c>
    </row>
    <row r="4149" s="2" customFormat="1" spans="1:10">
      <c r="A4149" s="6">
        <f>4147</f>
        <v>4147</v>
      </c>
      <c r="B4149" s="6" t="s">
        <v>10830</v>
      </c>
      <c r="C4149" s="6" t="s">
        <v>12</v>
      </c>
      <c r="D4149" s="6" t="s">
        <v>9344</v>
      </c>
      <c r="E4149" s="6" t="s">
        <v>10716</v>
      </c>
      <c r="F4149" s="6" t="s">
        <v>10831</v>
      </c>
      <c r="G4149" s="6" t="s">
        <v>16</v>
      </c>
      <c r="H4149" s="5">
        <v>3</v>
      </c>
      <c r="I4149" s="6" t="s">
        <v>10832</v>
      </c>
      <c r="J4149" s="5">
        <v>760</v>
      </c>
    </row>
    <row r="4150" s="2" customFormat="1" spans="1:10">
      <c r="A4150" s="6">
        <f>4148</f>
        <v>4148</v>
      </c>
      <c r="B4150" s="6" t="s">
        <v>10833</v>
      </c>
      <c r="C4150" s="6" t="s">
        <v>12</v>
      </c>
      <c r="D4150" s="6" t="s">
        <v>9344</v>
      </c>
      <c r="E4150" s="6" t="s">
        <v>10716</v>
      </c>
      <c r="F4150" s="6" t="s">
        <v>10834</v>
      </c>
      <c r="G4150" s="6" t="s">
        <v>16</v>
      </c>
      <c r="H4150" s="5">
        <v>1</v>
      </c>
      <c r="I4150" s="6" t="s">
        <v>10834</v>
      </c>
      <c r="J4150" s="5">
        <v>238</v>
      </c>
    </row>
    <row r="4151" s="2" customFormat="1" spans="1:10">
      <c r="A4151" s="6">
        <f>4149</f>
        <v>4149</v>
      </c>
      <c r="B4151" s="6" t="s">
        <v>10835</v>
      </c>
      <c r="C4151" s="6" t="s">
        <v>12</v>
      </c>
      <c r="D4151" s="6" t="s">
        <v>9344</v>
      </c>
      <c r="E4151" s="6" t="s">
        <v>10716</v>
      </c>
      <c r="F4151" s="6" t="s">
        <v>10836</v>
      </c>
      <c r="G4151" s="6" t="s">
        <v>16</v>
      </c>
      <c r="H4151" s="5">
        <v>1</v>
      </c>
      <c r="I4151" s="6" t="s">
        <v>10836</v>
      </c>
      <c r="J4151" s="5">
        <v>270</v>
      </c>
    </row>
    <row r="4152" s="2" customFormat="1" spans="1:10">
      <c r="A4152" s="6">
        <f>4150</f>
        <v>4150</v>
      </c>
      <c r="B4152" s="6" t="s">
        <v>10837</v>
      </c>
      <c r="C4152" s="6" t="s">
        <v>12</v>
      </c>
      <c r="D4152" s="6" t="s">
        <v>9344</v>
      </c>
      <c r="E4152" s="6" t="s">
        <v>10716</v>
      </c>
      <c r="F4152" s="6" t="s">
        <v>10838</v>
      </c>
      <c r="G4152" s="6" t="s">
        <v>16</v>
      </c>
      <c r="H4152" s="5">
        <v>1</v>
      </c>
      <c r="I4152" s="6" t="s">
        <v>10838</v>
      </c>
      <c r="J4152" s="5">
        <v>395</v>
      </c>
    </row>
    <row r="4153" s="2" customFormat="1" spans="1:10">
      <c r="A4153" s="6">
        <f>4151</f>
        <v>4151</v>
      </c>
      <c r="B4153" s="6" t="s">
        <v>10839</v>
      </c>
      <c r="C4153" s="6" t="s">
        <v>12</v>
      </c>
      <c r="D4153" s="6" t="s">
        <v>9344</v>
      </c>
      <c r="E4153" s="6" t="s">
        <v>10716</v>
      </c>
      <c r="F4153" s="6" t="s">
        <v>6815</v>
      </c>
      <c r="G4153" s="6" t="s">
        <v>16</v>
      </c>
      <c r="H4153" s="5">
        <v>1</v>
      </c>
      <c r="I4153" s="6" t="s">
        <v>6815</v>
      </c>
      <c r="J4153" s="5">
        <v>280</v>
      </c>
    </row>
    <row r="4154" s="2" customFormat="1" spans="1:10">
      <c r="A4154" s="6">
        <f>4152</f>
        <v>4152</v>
      </c>
      <c r="B4154" s="6" t="s">
        <v>10840</v>
      </c>
      <c r="C4154" s="6" t="s">
        <v>12</v>
      </c>
      <c r="D4154" s="6" t="s">
        <v>9344</v>
      </c>
      <c r="E4154" s="6" t="s">
        <v>10716</v>
      </c>
      <c r="F4154" s="6" t="s">
        <v>10841</v>
      </c>
      <c r="G4154" s="6" t="s">
        <v>16</v>
      </c>
      <c r="H4154" s="5">
        <v>1</v>
      </c>
      <c r="I4154" s="6" t="s">
        <v>10841</v>
      </c>
      <c r="J4154" s="5">
        <v>238</v>
      </c>
    </row>
    <row r="4155" s="2" customFormat="1" spans="1:10">
      <c r="A4155" s="6">
        <f>4153</f>
        <v>4153</v>
      </c>
      <c r="B4155" s="6" t="s">
        <v>10842</v>
      </c>
      <c r="C4155" s="6" t="s">
        <v>12</v>
      </c>
      <c r="D4155" s="6" t="s">
        <v>9344</v>
      </c>
      <c r="E4155" s="6" t="s">
        <v>10716</v>
      </c>
      <c r="F4155" s="6" t="s">
        <v>10843</v>
      </c>
      <c r="G4155" s="6" t="s">
        <v>16</v>
      </c>
      <c r="H4155" s="5">
        <v>1</v>
      </c>
      <c r="I4155" s="6" t="s">
        <v>10843</v>
      </c>
      <c r="J4155" s="5">
        <v>330</v>
      </c>
    </row>
    <row r="4156" s="2" customFormat="1" spans="1:10">
      <c r="A4156" s="6">
        <f>4154</f>
        <v>4154</v>
      </c>
      <c r="B4156" s="6" t="s">
        <v>10844</v>
      </c>
      <c r="C4156" s="6" t="s">
        <v>12</v>
      </c>
      <c r="D4156" s="6" t="s">
        <v>9344</v>
      </c>
      <c r="E4156" s="6" t="s">
        <v>10716</v>
      </c>
      <c r="F4156" s="6" t="s">
        <v>10845</v>
      </c>
      <c r="G4156" s="6" t="s">
        <v>16</v>
      </c>
      <c r="H4156" s="5">
        <v>2</v>
      </c>
      <c r="I4156" s="6" t="s">
        <v>10846</v>
      </c>
      <c r="J4156" s="5">
        <v>420</v>
      </c>
    </row>
    <row r="4157" s="2" customFormat="1" spans="1:10">
      <c r="A4157" s="6">
        <f>4155</f>
        <v>4155</v>
      </c>
      <c r="B4157" s="6" t="s">
        <v>10847</v>
      </c>
      <c r="C4157" s="6" t="s">
        <v>12</v>
      </c>
      <c r="D4157" s="6" t="s">
        <v>9344</v>
      </c>
      <c r="E4157" s="6" t="s">
        <v>10716</v>
      </c>
      <c r="F4157" s="6" t="s">
        <v>10848</v>
      </c>
      <c r="G4157" s="6" t="s">
        <v>16</v>
      </c>
      <c r="H4157" s="5">
        <v>2</v>
      </c>
      <c r="I4157" s="6" t="s">
        <v>10849</v>
      </c>
      <c r="J4157" s="5">
        <v>581</v>
      </c>
    </row>
    <row r="4158" s="2" customFormat="1" spans="1:10">
      <c r="A4158" s="6">
        <f>4156</f>
        <v>4156</v>
      </c>
      <c r="B4158" s="6" t="s">
        <v>10850</v>
      </c>
      <c r="C4158" s="6" t="s">
        <v>12</v>
      </c>
      <c r="D4158" s="6" t="s">
        <v>9344</v>
      </c>
      <c r="E4158" s="6" t="s">
        <v>10716</v>
      </c>
      <c r="F4158" s="6" t="s">
        <v>10851</v>
      </c>
      <c r="G4158" s="6" t="s">
        <v>16</v>
      </c>
      <c r="H4158" s="5">
        <v>2</v>
      </c>
      <c r="I4158" s="6" t="s">
        <v>10852</v>
      </c>
      <c r="J4158" s="5">
        <v>470</v>
      </c>
    </row>
    <row r="4159" s="2" customFormat="1" spans="1:10">
      <c r="A4159" s="6">
        <f>4157</f>
        <v>4157</v>
      </c>
      <c r="B4159" s="6" t="s">
        <v>10853</v>
      </c>
      <c r="C4159" s="6" t="s">
        <v>12</v>
      </c>
      <c r="D4159" s="6" t="s">
        <v>9344</v>
      </c>
      <c r="E4159" s="6" t="s">
        <v>10716</v>
      </c>
      <c r="F4159" s="6" t="s">
        <v>10854</v>
      </c>
      <c r="G4159" s="6" t="s">
        <v>16</v>
      </c>
      <c r="H4159" s="5">
        <v>2</v>
      </c>
      <c r="I4159" s="6" t="s">
        <v>10855</v>
      </c>
      <c r="J4159" s="5">
        <v>710</v>
      </c>
    </row>
    <row r="4160" s="2" customFormat="1" spans="1:10">
      <c r="A4160" s="6">
        <f>4158</f>
        <v>4158</v>
      </c>
      <c r="B4160" s="6" t="s">
        <v>10856</v>
      </c>
      <c r="C4160" s="6" t="s">
        <v>12</v>
      </c>
      <c r="D4160" s="6" t="s">
        <v>9344</v>
      </c>
      <c r="E4160" s="6" t="s">
        <v>10716</v>
      </c>
      <c r="F4160" s="6" t="s">
        <v>10857</v>
      </c>
      <c r="G4160" s="6" t="s">
        <v>16</v>
      </c>
      <c r="H4160" s="5">
        <v>3</v>
      </c>
      <c r="I4160" s="6" t="s">
        <v>10858</v>
      </c>
      <c r="J4160" s="5">
        <v>880</v>
      </c>
    </row>
    <row r="4161" s="2" customFormat="1" spans="1:10">
      <c r="A4161" s="6">
        <f>4159</f>
        <v>4159</v>
      </c>
      <c r="B4161" s="6" t="s">
        <v>10859</v>
      </c>
      <c r="C4161" s="6" t="s">
        <v>12</v>
      </c>
      <c r="D4161" s="6" t="s">
        <v>9344</v>
      </c>
      <c r="E4161" s="6" t="s">
        <v>10716</v>
      </c>
      <c r="F4161" s="6" t="s">
        <v>7093</v>
      </c>
      <c r="G4161" s="6" t="s">
        <v>16</v>
      </c>
      <c r="H4161" s="5">
        <v>1</v>
      </c>
      <c r="I4161" s="6" t="s">
        <v>7093</v>
      </c>
      <c r="J4161" s="5">
        <v>238</v>
      </c>
    </row>
    <row r="4162" s="2" customFormat="1" spans="1:10">
      <c r="A4162" s="6">
        <f>4160</f>
        <v>4160</v>
      </c>
      <c r="B4162" s="6" t="s">
        <v>10860</v>
      </c>
      <c r="C4162" s="6" t="s">
        <v>12</v>
      </c>
      <c r="D4162" s="6" t="s">
        <v>9344</v>
      </c>
      <c r="E4162" s="6" t="s">
        <v>10716</v>
      </c>
      <c r="F4162" s="6" t="s">
        <v>10861</v>
      </c>
      <c r="G4162" s="6" t="s">
        <v>16</v>
      </c>
      <c r="H4162" s="5">
        <v>1</v>
      </c>
      <c r="I4162" s="6" t="s">
        <v>10861</v>
      </c>
      <c r="J4162" s="5">
        <v>465</v>
      </c>
    </row>
    <row r="4163" s="2" customFormat="1" spans="1:10">
      <c r="A4163" s="6">
        <f>4161</f>
        <v>4161</v>
      </c>
      <c r="B4163" s="6" t="s">
        <v>10862</v>
      </c>
      <c r="C4163" s="6" t="s">
        <v>12</v>
      </c>
      <c r="D4163" s="6" t="s">
        <v>9344</v>
      </c>
      <c r="E4163" s="6" t="s">
        <v>10716</v>
      </c>
      <c r="F4163" s="6" t="s">
        <v>10863</v>
      </c>
      <c r="G4163" s="6" t="s">
        <v>16</v>
      </c>
      <c r="H4163" s="5">
        <v>1</v>
      </c>
      <c r="I4163" s="6" t="s">
        <v>10863</v>
      </c>
      <c r="J4163" s="5">
        <v>440</v>
      </c>
    </row>
    <row r="4164" s="2" customFormat="1" ht="27" spans="1:10">
      <c r="A4164" s="6">
        <f>4162</f>
        <v>4162</v>
      </c>
      <c r="B4164" s="6" t="s">
        <v>10864</v>
      </c>
      <c r="C4164" s="6" t="s">
        <v>12</v>
      </c>
      <c r="D4164" s="6" t="s">
        <v>9344</v>
      </c>
      <c r="E4164" s="6" t="s">
        <v>10716</v>
      </c>
      <c r="F4164" s="6" t="s">
        <v>10865</v>
      </c>
      <c r="G4164" s="6" t="s">
        <v>16</v>
      </c>
      <c r="H4164" s="5">
        <v>5</v>
      </c>
      <c r="I4164" s="6" t="s">
        <v>10866</v>
      </c>
      <c r="J4164" s="5">
        <v>600</v>
      </c>
    </row>
    <row r="4165" s="2" customFormat="1" ht="27" spans="1:10">
      <c r="A4165" s="6">
        <f>4163</f>
        <v>4163</v>
      </c>
      <c r="B4165" s="6" t="s">
        <v>10867</v>
      </c>
      <c r="C4165" s="6" t="s">
        <v>12</v>
      </c>
      <c r="D4165" s="6" t="s">
        <v>9344</v>
      </c>
      <c r="E4165" s="6" t="s">
        <v>10716</v>
      </c>
      <c r="F4165" s="6" t="s">
        <v>10868</v>
      </c>
      <c r="G4165" s="6" t="s">
        <v>16</v>
      </c>
      <c r="H4165" s="5">
        <v>6</v>
      </c>
      <c r="I4165" s="6" t="s">
        <v>10869</v>
      </c>
      <c r="J4165" s="5">
        <v>609</v>
      </c>
    </row>
    <row r="4166" s="2" customFormat="1" ht="27" spans="1:10">
      <c r="A4166" s="6">
        <f>4164</f>
        <v>4164</v>
      </c>
      <c r="B4166" s="6" t="s">
        <v>10870</v>
      </c>
      <c r="C4166" s="6" t="s">
        <v>12</v>
      </c>
      <c r="D4166" s="6" t="s">
        <v>9344</v>
      </c>
      <c r="E4166" s="6" t="s">
        <v>10716</v>
      </c>
      <c r="F4166" s="6" t="s">
        <v>10871</v>
      </c>
      <c r="G4166" s="6" t="s">
        <v>16</v>
      </c>
      <c r="H4166" s="5">
        <v>4</v>
      </c>
      <c r="I4166" s="6" t="s">
        <v>10872</v>
      </c>
      <c r="J4166" s="5">
        <v>680</v>
      </c>
    </row>
    <row r="4167" s="2" customFormat="1" spans="1:10">
      <c r="A4167" s="6">
        <f>4165</f>
        <v>4165</v>
      </c>
      <c r="B4167" s="6" t="s">
        <v>10873</v>
      </c>
      <c r="C4167" s="6" t="s">
        <v>12</v>
      </c>
      <c r="D4167" s="6" t="s">
        <v>9344</v>
      </c>
      <c r="E4167" s="6" t="s">
        <v>10716</v>
      </c>
      <c r="F4167" s="6" t="s">
        <v>10874</v>
      </c>
      <c r="G4167" s="6" t="s">
        <v>16</v>
      </c>
      <c r="H4167" s="5">
        <v>1</v>
      </c>
      <c r="I4167" s="6" t="s">
        <v>10874</v>
      </c>
      <c r="J4167" s="5">
        <v>362</v>
      </c>
    </row>
    <row r="4168" s="2" customFormat="1" spans="1:10">
      <c r="A4168" s="6">
        <f>4166</f>
        <v>4166</v>
      </c>
      <c r="B4168" s="6" t="s">
        <v>10875</v>
      </c>
      <c r="C4168" s="6" t="s">
        <v>12</v>
      </c>
      <c r="D4168" s="6" t="s">
        <v>9344</v>
      </c>
      <c r="E4168" s="6" t="s">
        <v>10716</v>
      </c>
      <c r="F4168" s="6" t="s">
        <v>10876</v>
      </c>
      <c r="G4168" s="6" t="s">
        <v>16</v>
      </c>
      <c r="H4168" s="5">
        <v>1</v>
      </c>
      <c r="I4168" s="6" t="s">
        <v>10876</v>
      </c>
      <c r="J4168" s="5">
        <v>340</v>
      </c>
    </row>
    <row r="4169" s="2" customFormat="1" spans="1:10">
      <c r="A4169" s="6">
        <f>4167</f>
        <v>4167</v>
      </c>
      <c r="B4169" s="6" t="s">
        <v>10877</v>
      </c>
      <c r="C4169" s="6" t="s">
        <v>12</v>
      </c>
      <c r="D4169" s="6" t="s">
        <v>9344</v>
      </c>
      <c r="E4169" s="6" t="s">
        <v>10716</v>
      </c>
      <c r="F4169" s="6" t="s">
        <v>10878</v>
      </c>
      <c r="G4169" s="6" t="s">
        <v>16</v>
      </c>
      <c r="H4169" s="5">
        <v>4</v>
      </c>
      <c r="I4169" s="6" t="s">
        <v>10879</v>
      </c>
      <c r="J4169" s="5">
        <v>740</v>
      </c>
    </row>
    <row r="4170" s="2" customFormat="1" spans="1:10">
      <c r="A4170" s="6">
        <f>4168</f>
        <v>4168</v>
      </c>
      <c r="B4170" s="6" t="s">
        <v>10880</v>
      </c>
      <c r="C4170" s="6" t="s">
        <v>12</v>
      </c>
      <c r="D4170" s="6" t="s">
        <v>9344</v>
      </c>
      <c r="E4170" s="6" t="s">
        <v>10716</v>
      </c>
      <c r="F4170" s="6" t="s">
        <v>10881</v>
      </c>
      <c r="G4170" s="6" t="s">
        <v>16</v>
      </c>
      <c r="H4170" s="5">
        <v>1</v>
      </c>
      <c r="I4170" s="6" t="s">
        <v>10881</v>
      </c>
      <c r="J4170" s="5">
        <v>360</v>
      </c>
    </row>
    <row r="4171" s="2" customFormat="1" ht="27" spans="1:10">
      <c r="A4171" s="6">
        <f>4169</f>
        <v>4169</v>
      </c>
      <c r="B4171" s="6" t="s">
        <v>10882</v>
      </c>
      <c r="C4171" s="6" t="s">
        <v>12</v>
      </c>
      <c r="D4171" s="6" t="s">
        <v>9344</v>
      </c>
      <c r="E4171" s="6" t="s">
        <v>10883</v>
      </c>
      <c r="F4171" s="6" t="s">
        <v>10884</v>
      </c>
      <c r="G4171" s="6" t="s">
        <v>16</v>
      </c>
      <c r="H4171" s="5">
        <v>4</v>
      </c>
      <c r="I4171" s="6" t="s">
        <v>10885</v>
      </c>
      <c r="J4171" s="5">
        <v>960</v>
      </c>
    </row>
    <row r="4172" s="2" customFormat="1" spans="1:10">
      <c r="A4172" s="6">
        <f>4170</f>
        <v>4170</v>
      </c>
      <c r="B4172" s="6" t="s">
        <v>10886</v>
      </c>
      <c r="C4172" s="6" t="s">
        <v>12</v>
      </c>
      <c r="D4172" s="6" t="s">
        <v>9344</v>
      </c>
      <c r="E4172" s="6" t="s">
        <v>10883</v>
      </c>
      <c r="F4172" s="6" t="s">
        <v>10887</v>
      </c>
      <c r="G4172" s="6" t="s">
        <v>16</v>
      </c>
      <c r="H4172" s="5">
        <v>1</v>
      </c>
      <c r="I4172" s="6" t="s">
        <v>10887</v>
      </c>
      <c r="J4172" s="5">
        <v>260</v>
      </c>
    </row>
    <row r="4173" s="2" customFormat="1" spans="1:10">
      <c r="A4173" s="6">
        <f>4171</f>
        <v>4171</v>
      </c>
      <c r="B4173" s="6" t="s">
        <v>10888</v>
      </c>
      <c r="C4173" s="6" t="s">
        <v>12</v>
      </c>
      <c r="D4173" s="6" t="s">
        <v>9344</v>
      </c>
      <c r="E4173" s="6" t="s">
        <v>10883</v>
      </c>
      <c r="F4173" s="6" t="s">
        <v>10889</v>
      </c>
      <c r="G4173" s="6" t="s">
        <v>16</v>
      </c>
      <c r="H4173" s="5">
        <v>3</v>
      </c>
      <c r="I4173" s="6" t="s">
        <v>10890</v>
      </c>
      <c r="J4173" s="5">
        <v>480</v>
      </c>
    </row>
    <row r="4174" s="2" customFormat="1" ht="27" spans="1:10">
      <c r="A4174" s="6">
        <f>4172</f>
        <v>4172</v>
      </c>
      <c r="B4174" s="6" t="s">
        <v>10891</v>
      </c>
      <c r="C4174" s="6" t="s">
        <v>12</v>
      </c>
      <c r="D4174" s="6" t="s">
        <v>9344</v>
      </c>
      <c r="E4174" s="6" t="s">
        <v>10883</v>
      </c>
      <c r="F4174" s="6" t="s">
        <v>10892</v>
      </c>
      <c r="G4174" s="6" t="s">
        <v>16</v>
      </c>
      <c r="H4174" s="5">
        <v>6</v>
      </c>
      <c r="I4174" s="6" t="s">
        <v>10893</v>
      </c>
      <c r="J4174" s="5">
        <v>1060</v>
      </c>
    </row>
    <row r="4175" s="2" customFormat="1" spans="1:10">
      <c r="A4175" s="6">
        <f>4173</f>
        <v>4173</v>
      </c>
      <c r="B4175" s="6" t="s">
        <v>10894</v>
      </c>
      <c r="C4175" s="6" t="s">
        <v>12</v>
      </c>
      <c r="D4175" s="6" t="s">
        <v>9344</v>
      </c>
      <c r="E4175" s="6" t="s">
        <v>10883</v>
      </c>
      <c r="F4175" s="6" t="s">
        <v>10895</v>
      </c>
      <c r="G4175" s="6" t="s">
        <v>16</v>
      </c>
      <c r="H4175" s="5">
        <v>2</v>
      </c>
      <c r="I4175" s="6" t="s">
        <v>10896</v>
      </c>
      <c r="J4175" s="5">
        <v>1180</v>
      </c>
    </row>
    <row r="4176" s="2" customFormat="1" ht="27" spans="1:10">
      <c r="A4176" s="6">
        <f>4174</f>
        <v>4174</v>
      </c>
      <c r="B4176" s="6" t="s">
        <v>10897</v>
      </c>
      <c r="C4176" s="6" t="s">
        <v>12</v>
      </c>
      <c r="D4176" s="6" t="s">
        <v>9344</v>
      </c>
      <c r="E4176" s="6" t="s">
        <v>10883</v>
      </c>
      <c r="F4176" s="6" t="s">
        <v>10898</v>
      </c>
      <c r="G4176" s="6" t="s">
        <v>16</v>
      </c>
      <c r="H4176" s="5">
        <v>5</v>
      </c>
      <c r="I4176" s="6" t="s">
        <v>10899</v>
      </c>
      <c r="J4176" s="5">
        <v>2200</v>
      </c>
    </row>
    <row r="4177" s="2" customFormat="1" ht="27" spans="1:10">
      <c r="A4177" s="6">
        <f>4175</f>
        <v>4175</v>
      </c>
      <c r="B4177" s="6" t="s">
        <v>10900</v>
      </c>
      <c r="C4177" s="6" t="s">
        <v>12</v>
      </c>
      <c r="D4177" s="6" t="s">
        <v>9344</v>
      </c>
      <c r="E4177" s="6" t="s">
        <v>10883</v>
      </c>
      <c r="F4177" s="6" t="s">
        <v>10901</v>
      </c>
      <c r="G4177" s="6" t="s">
        <v>16</v>
      </c>
      <c r="H4177" s="5">
        <v>5</v>
      </c>
      <c r="I4177" s="6" t="s">
        <v>10902</v>
      </c>
      <c r="J4177" s="5">
        <v>2500</v>
      </c>
    </row>
    <row r="4178" s="2" customFormat="1" spans="1:10">
      <c r="A4178" s="6">
        <f>4176</f>
        <v>4176</v>
      </c>
      <c r="B4178" s="6" t="s">
        <v>10903</v>
      </c>
      <c r="C4178" s="6" t="s">
        <v>12</v>
      </c>
      <c r="D4178" s="6" t="s">
        <v>9344</v>
      </c>
      <c r="E4178" s="6" t="s">
        <v>10883</v>
      </c>
      <c r="F4178" s="6" t="s">
        <v>10904</v>
      </c>
      <c r="G4178" s="6" t="s">
        <v>16</v>
      </c>
      <c r="H4178" s="5">
        <v>2</v>
      </c>
      <c r="I4178" s="6" t="s">
        <v>10905</v>
      </c>
      <c r="J4178" s="5">
        <v>1080</v>
      </c>
    </row>
    <row r="4179" s="2" customFormat="1" spans="1:10">
      <c r="A4179" s="6">
        <f>4177</f>
        <v>4177</v>
      </c>
      <c r="B4179" s="6" t="s">
        <v>10906</v>
      </c>
      <c r="C4179" s="6" t="s">
        <v>12</v>
      </c>
      <c r="D4179" s="6" t="s">
        <v>9344</v>
      </c>
      <c r="E4179" s="6" t="s">
        <v>10883</v>
      </c>
      <c r="F4179" s="6" t="s">
        <v>10907</v>
      </c>
      <c r="G4179" s="6" t="s">
        <v>16</v>
      </c>
      <c r="H4179" s="5">
        <v>2</v>
      </c>
      <c r="I4179" s="6" t="s">
        <v>10908</v>
      </c>
      <c r="J4179" s="5">
        <v>825</v>
      </c>
    </row>
    <row r="4180" s="2" customFormat="1" ht="27" spans="1:10">
      <c r="A4180" s="6">
        <f>4178</f>
        <v>4178</v>
      </c>
      <c r="B4180" s="6" t="s">
        <v>10909</v>
      </c>
      <c r="C4180" s="6" t="s">
        <v>12</v>
      </c>
      <c r="D4180" s="6" t="s">
        <v>9344</v>
      </c>
      <c r="E4180" s="6" t="s">
        <v>10883</v>
      </c>
      <c r="F4180" s="6" t="s">
        <v>10910</v>
      </c>
      <c r="G4180" s="6" t="s">
        <v>16</v>
      </c>
      <c r="H4180" s="5">
        <v>5</v>
      </c>
      <c r="I4180" s="6" t="s">
        <v>10911</v>
      </c>
      <c r="J4180" s="5">
        <v>850</v>
      </c>
    </row>
    <row r="4181" s="2" customFormat="1" spans="1:10">
      <c r="A4181" s="6">
        <f>4179</f>
        <v>4179</v>
      </c>
      <c r="B4181" s="6" t="s">
        <v>10912</v>
      </c>
      <c r="C4181" s="6" t="s">
        <v>12</v>
      </c>
      <c r="D4181" s="6" t="s">
        <v>9344</v>
      </c>
      <c r="E4181" s="6" t="s">
        <v>10883</v>
      </c>
      <c r="F4181" s="6" t="s">
        <v>10913</v>
      </c>
      <c r="G4181" s="6" t="s">
        <v>16</v>
      </c>
      <c r="H4181" s="5">
        <v>1</v>
      </c>
      <c r="I4181" s="6" t="s">
        <v>10913</v>
      </c>
      <c r="J4181" s="5">
        <v>387</v>
      </c>
    </row>
    <row r="4182" s="2" customFormat="1" ht="27" spans="1:10">
      <c r="A4182" s="6">
        <f>4180</f>
        <v>4180</v>
      </c>
      <c r="B4182" s="6" t="s">
        <v>10914</v>
      </c>
      <c r="C4182" s="6" t="s">
        <v>12</v>
      </c>
      <c r="D4182" s="6" t="s">
        <v>9344</v>
      </c>
      <c r="E4182" s="6" t="s">
        <v>10883</v>
      </c>
      <c r="F4182" s="6" t="s">
        <v>10915</v>
      </c>
      <c r="G4182" s="6" t="s">
        <v>16</v>
      </c>
      <c r="H4182" s="5">
        <v>4</v>
      </c>
      <c r="I4182" s="6" t="s">
        <v>10916</v>
      </c>
      <c r="J4182" s="5">
        <v>740</v>
      </c>
    </row>
    <row r="4183" s="2" customFormat="1" ht="27" spans="1:10">
      <c r="A4183" s="6">
        <f>4181</f>
        <v>4181</v>
      </c>
      <c r="B4183" s="6" t="s">
        <v>10917</v>
      </c>
      <c r="C4183" s="6" t="s">
        <v>12</v>
      </c>
      <c r="D4183" s="6" t="s">
        <v>9344</v>
      </c>
      <c r="E4183" s="6" t="s">
        <v>10883</v>
      </c>
      <c r="F4183" s="6" t="s">
        <v>10918</v>
      </c>
      <c r="G4183" s="6" t="s">
        <v>16</v>
      </c>
      <c r="H4183" s="5">
        <v>4</v>
      </c>
      <c r="I4183" s="6" t="s">
        <v>10919</v>
      </c>
      <c r="J4183" s="5">
        <v>1360</v>
      </c>
    </row>
    <row r="4184" s="2" customFormat="1" spans="1:10">
      <c r="A4184" s="6">
        <f>4182</f>
        <v>4182</v>
      </c>
      <c r="B4184" s="6" t="s">
        <v>10920</v>
      </c>
      <c r="C4184" s="6" t="s">
        <v>12</v>
      </c>
      <c r="D4184" s="6" t="s">
        <v>9344</v>
      </c>
      <c r="E4184" s="6" t="s">
        <v>10883</v>
      </c>
      <c r="F4184" s="6" t="s">
        <v>10921</v>
      </c>
      <c r="G4184" s="6" t="s">
        <v>16</v>
      </c>
      <c r="H4184" s="5">
        <v>3</v>
      </c>
      <c r="I4184" s="6" t="s">
        <v>10922</v>
      </c>
      <c r="J4184" s="5">
        <v>750</v>
      </c>
    </row>
    <row r="4185" s="2" customFormat="1" spans="1:10">
      <c r="A4185" s="6">
        <f>4183</f>
        <v>4183</v>
      </c>
      <c r="B4185" s="6" t="s">
        <v>10923</v>
      </c>
      <c r="C4185" s="6" t="s">
        <v>12</v>
      </c>
      <c r="D4185" s="6" t="s">
        <v>9344</v>
      </c>
      <c r="E4185" s="6" t="s">
        <v>10883</v>
      </c>
      <c r="F4185" s="6" t="s">
        <v>10924</v>
      </c>
      <c r="G4185" s="6" t="s">
        <v>16</v>
      </c>
      <c r="H4185" s="5">
        <v>1</v>
      </c>
      <c r="I4185" s="6" t="s">
        <v>10924</v>
      </c>
      <c r="J4185" s="5">
        <v>243</v>
      </c>
    </row>
    <row r="4186" s="2" customFormat="1" spans="1:10">
      <c r="A4186" s="6">
        <f>4184</f>
        <v>4184</v>
      </c>
      <c r="B4186" s="6" t="s">
        <v>10925</v>
      </c>
      <c r="C4186" s="6" t="s">
        <v>12</v>
      </c>
      <c r="D4186" s="6" t="s">
        <v>9344</v>
      </c>
      <c r="E4186" s="6" t="s">
        <v>10883</v>
      </c>
      <c r="F4186" s="6" t="s">
        <v>10926</v>
      </c>
      <c r="G4186" s="6" t="s">
        <v>16</v>
      </c>
      <c r="H4186" s="5">
        <v>3</v>
      </c>
      <c r="I4186" s="6" t="s">
        <v>10927</v>
      </c>
      <c r="J4186" s="5">
        <v>610</v>
      </c>
    </row>
    <row r="4187" s="2" customFormat="1" spans="1:10">
      <c r="A4187" s="6">
        <f>4185</f>
        <v>4185</v>
      </c>
      <c r="B4187" s="6" t="s">
        <v>10928</v>
      </c>
      <c r="C4187" s="6" t="s">
        <v>12</v>
      </c>
      <c r="D4187" s="6" t="s">
        <v>9344</v>
      </c>
      <c r="E4187" s="6" t="s">
        <v>10883</v>
      </c>
      <c r="F4187" s="6" t="s">
        <v>10929</v>
      </c>
      <c r="G4187" s="6" t="s">
        <v>16</v>
      </c>
      <c r="H4187" s="5">
        <v>3</v>
      </c>
      <c r="I4187" s="6" t="s">
        <v>10930</v>
      </c>
      <c r="J4187" s="5">
        <v>770</v>
      </c>
    </row>
    <row r="4188" s="2" customFormat="1" spans="1:10">
      <c r="A4188" s="6">
        <f>4186</f>
        <v>4186</v>
      </c>
      <c r="B4188" s="6" t="s">
        <v>10931</v>
      </c>
      <c r="C4188" s="6" t="s">
        <v>12</v>
      </c>
      <c r="D4188" s="6" t="s">
        <v>9344</v>
      </c>
      <c r="E4188" s="6" t="s">
        <v>10883</v>
      </c>
      <c r="F4188" s="6" t="s">
        <v>10932</v>
      </c>
      <c r="G4188" s="6" t="s">
        <v>16</v>
      </c>
      <c r="H4188" s="5">
        <v>2</v>
      </c>
      <c r="I4188" s="6" t="s">
        <v>10933</v>
      </c>
      <c r="J4188" s="5">
        <v>420</v>
      </c>
    </row>
    <row r="4189" s="2" customFormat="1" spans="1:10">
      <c r="A4189" s="6">
        <f>4187</f>
        <v>4187</v>
      </c>
      <c r="B4189" s="6" t="s">
        <v>10934</v>
      </c>
      <c r="C4189" s="6" t="s">
        <v>12</v>
      </c>
      <c r="D4189" s="6" t="s">
        <v>9344</v>
      </c>
      <c r="E4189" s="6" t="s">
        <v>10883</v>
      </c>
      <c r="F4189" s="6" t="s">
        <v>10935</v>
      </c>
      <c r="G4189" s="6" t="s">
        <v>16</v>
      </c>
      <c r="H4189" s="5">
        <v>1</v>
      </c>
      <c r="I4189" s="6" t="s">
        <v>10935</v>
      </c>
      <c r="J4189" s="5">
        <v>620</v>
      </c>
    </row>
    <row r="4190" s="2" customFormat="1" spans="1:10">
      <c r="A4190" s="6">
        <f>4188</f>
        <v>4188</v>
      </c>
      <c r="B4190" s="6" t="s">
        <v>10936</v>
      </c>
      <c r="C4190" s="6" t="s">
        <v>12</v>
      </c>
      <c r="D4190" s="6" t="s">
        <v>9344</v>
      </c>
      <c r="E4190" s="6" t="s">
        <v>10883</v>
      </c>
      <c r="F4190" s="6" t="s">
        <v>10937</v>
      </c>
      <c r="G4190" s="6" t="s">
        <v>16</v>
      </c>
      <c r="H4190" s="5">
        <v>2</v>
      </c>
      <c r="I4190" s="6" t="s">
        <v>10938</v>
      </c>
      <c r="J4190" s="5">
        <v>920</v>
      </c>
    </row>
    <row r="4191" s="2" customFormat="1" ht="27" spans="1:10">
      <c r="A4191" s="6">
        <f>4189</f>
        <v>4189</v>
      </c>
      <c r="B4191" s="6" t="s">
        <v>10939</v>
      </c>
      <c r="C4191" s="6" t="s">
        <v>12</v>
      </c>
      <c r="D4191" s="6" t="s">
        <v>9344</v>
      </c>
      <c r="E4191" s="6" t="s">
        <v>10883</v>
      </c>
      <c r="F4191" s="6" t="s">
        <v>10940</v>
      </c>
      <c r="G4191" s="6" t="s">
        <v>16</v>
      </c>
      <c r="H4191" s="5">
        <v>4</v>
      </c>
      <c r="I4191" s="6" t="s">
        <v>10941</v>
      </c>
      <c r="J4191" s="5">
        <v>990</v>
      </c>
    </row>
    <row r="4192" s="2" customFormat="1" spans="1:10">
      <c r="A4192" s="6">
        <f>4190</f>
        <v>4190</v>
      </c>
      <c r="B4192" s="6" t="s">
        <v>10942</v>
      </c>
      <c r="C4192" s="6" t="s">
        <v>12</v>
      </c>
      <c r="D4192" s="6" t="s">
        <v>9344</v>
      </c>
      <c r="E4192" s="6" t="s">
        <v>10883</v>
      </c>
      <c r="F4192" s="6" t="s">
        <v>10943</v>
      </c>
      <c r="G4192" s="6" t="s">
        <v>16</v>
      </c>
      <c r="H4192" s="5">
        <v>3</v>
      </c>
      <c r="I4192" s="6" t="s">
        <v>10944</v>
      </c>
      <c r="J4192" s="5">
        <v>730</v>
      </c>
    </row>
    <row r="4193" s="2" customFormat="1" spans="1:10">
      <c r="A4193" s="6">
        <f>4191</f>
        <v>4191</v>
      </c>
      <c r="B4193" s="6" t="s">
        <v>10945</v>
      </c>
      <c r="C4193" s="6" t="s">
        <v>12</v>
      </c>
      <c r="D4193" s="6" t="s">
        <v>9344</v>
      </c>
      <c r="E4193" s="6" t="s">
        <v>10883</v>
      </c>
      <c r="F4193" s="6" t="s">
        <v>10946</v>
      </c>
      <c r="G4193" s="6" t="s">
        <v>16</v>
      </c>
      <c r="H4193" s="5">
        <v>1</v>
      </c>
      <c r="I4193" s="6" t="s">
        <v>10946</v>
      </c>
      <c r="J4193" s="5">
        <v>395</v>
      </c>
    </row>
    <row r="4194" s="2" customFormat="1" spans="1:10">
      <c r="A4194" s="6">
        <f>4192</f>
        <v>4192</v>
      </c>
      <c r="B4194" s="6" t="s">
        <v>10947</v>
      </c>
      <c r="C4194" s="6" t="s">
        <v>12</v>
      </c>
      <c r="D4194" s="6" t="s">
        <v>9344</v>
      </c>
      <c r="E4194" s="6" t="s">
        <v>10883</v>
      </c>
      <c r="F4194" s="6" t="s">
        <v>10948</v>
      </c>
      <c r="G4194" s="6" t="s">
        <v>16</v>
      </c>
      <c r="H4194" s="5">
        <v>2</v>
      </c>
      <c r="I4194" s="6" t="s">
        <v>10949</v>
      </c>
      <c r="J4194" s="5">
        <v>406</v>
      </c>
    </row>
    <row r="4195" s="2" customFormat="1" spans="1:10">
      <c r="A4195" s="6">
        <f>4193</f>
        <v>4193</v>
      </c>
      <c r="B4195" s="6" t="s">
        <v>10950</v>
      </c>
      <c r="C4195" s="6" t="s">
        <v>12</v>
      </c>
      <c r="D4195" s="6" t="s">
        <v>9344</v>
      </c>
      <c r="E4195" s="6" t="s">
        <v>10883</v>
      </c>
      <c r="F4195" s="6" t="s">
        <v>10951</v>
      </c>
      <c r="G4195" s="6" t="s">
        <v>16</v>
      </c>
      <c r="H4195" s="5">
        <v>2</v>
      </c>
      <c r="I4195" s="6" t="s">
        <v>10952</v>
      </c>
      <c r="J4195" s="5">
        <v>480</v>
      </c>
    </row>
    <row r="4196" s="2" customFormat="1" ht="27" spans="1:10">
      <c r="A4196" s="6">
        <f>4194</f>
        <v>4194</v>
      </c>
      <c r="B4196" s="6" t="s">
        <v>10953</v>
      </c>
      <c r="C4196" s="6" t="s">
        <v>12</v>
      </c>
      <c r="D4196" s="6" t="s">
        <v>9344</v>
      </c>
      <c r="E4196" s="6" t="s">
        <v>10883</v>
      </c>
      <c r="F4196" s="6" t="s">
        <v>10954</v>
      </c>
      <c r="G4196" s="6" t="s">
        <v>16</v>
      </c>
      <c r="H4196" s="5">
        <v>4</v>
      </c>
      <c r="I4196" s="6" t="s">
        <v>10955</v>
      </c>
      <c r="J4196" s="5">
        <v>418</v>
      </c>
    </row>
    <row r="4197" s="2" customFormat="1" ht="27" spans="1:10">
      <c r="A4197" s="6">
        <f>4195</f>
        <v>4195</v>
      </c>
      <c r="B4197" s="6" t="s">
        <v>10956</v>
      </c>
      <c r="C4197" s="6" t="s">
        <v>12</v>
      </c>
      <c r="D4197" s="6" t="s">
        <v>9344</v>
      </c>
      <c r="E4197" s="6" t="s">
        <v>10883</v>
      </c>
      <c r="F4197" s="6" t="s">
        <v>10957</v>
      </c>
      <c r="G4197" s="6" t="s">
        <v>16</v>
      </c>
      <c r="H4197" s="5">
        <v>4</v>
      </c>
      <c r="I4197" s="6" t="s">
        <v>10958</v>
      </c>
      <c r="J4197" s="5">
        <v>1398</v>
      </c>
    </row>
    <row r="4198" s="2" customFormat="1" ht="27" spans="1:10">
      <c r="A4198" s="6">
        <f>4196</f>
        <v>4196</v>
      </c>
      <c r="B4198" s="6" t="s">
        <v>10959</v>
      </c>
      <c r="C4198" s="6" t="s">
        <v>12</v>
      </c>
      <c r="D4198" s="6" t="s">
        <v>9344</v>
      </c>
      <c r="E4198" s="6" t="s">
        <v>10883</v>
      </c>
      <c r="F4198" s="6" t="s">
        <v>10960</v>
      </c>
      <c r="G4198" s="6" t="s">
        <v>16</v>
      </c>
      <c r="H4198" s="5">
        <v>4</v>
      </c>
      <c r="I4198" s="6" t="s">
        <v>10961</v>
      </c>
      <c r="J4198" s="5">
        <v>852</v>
      </c>
    </row>
    <row r="4199" s="2" customFormat="1" ht="27" spans="1:10">
      <c r="A4199" s="6">
        <f>4197</f>
        <v>4197</v>
      </c>
      <c r="B4199" s="6" t="s">
        <v>10962</v>
      </c>
      <c r="C4199" s="6" t="s">
        <v>12</v>
      </c>
      <c r="D4199" s="6" t="s">
        <v>9344</v>
      </c>
      <c r="E4199" s="6" t="s">
        <v>10883</v>
      </c>
      <c r="F4199" s="6" t="s">
        <v>10963</v>
      </c>
      <c r="G4199" s="6" t="s">
        <v>16</v>
      </c>
      <c r="H4199" s="5">
        <v>4</v>
      </c>
      <c r="I4199" s="6" t="s">
        <v>10964</v>
      </c>
      <c r="J4199" s="5">
        <v>690</v>
      </c>
    </row>
    <row r="4200" s="2" customFormat="1" spans="1:10">
      <c r="A4200" s="6">
        <f>4198</f>
        <v>4198</v>
      </c>
      <c r="B4200" s="6" t="s">
        <v>10965</v>
      </c>
      <c r="C4200" s="6" t="s">
        <v>12</v>
      </c>
      <c r="D4200" s="6" t="s">
        <v>9344</v>
      </c>
      <c r="E4200" s="6" t="s">
        <v>10883</v>
      </c>
      <c r="F4200" s="6" t="s">
        <v>10966</v>
      </c>
      <c r="G4200" s="6" t="s">
        <v>16</v>
      </c>
      <c r="H4200" s="5">
        <v>1</v>
      </c>
      <c r="I4200" s="6" t="s">
        <v>10966</v>
      </c>
      <c r="J4200" s="5">
        <v>440</v>
      </c>
    </row>
    <row r="4201" s="2" customFormat="1" spans="1:10">
      <c r="A4201" s="6">
        <f>4199</f>
        <v>4199</v>
      </c>
      <c r="B4201" s="6" t="s">
        <v>10967</v>
      </c>
      <c r="C4201" s="6" t="s">
        <v>12</v>
      </c>
      <c r="D4201" s="6" t="s">
        <v>9344</v>
      </c>
      <c r="E4201" s="6" t="s">
        <v>10883</v>
      </c>
      <c r="F4201" s="6" t="s">
        <v>10968</v>
      </c>
      <c r="G4201" s="6" t="s">
        <v>16</v>
      </c>
      <c r="H4201" s="5">
        <v>1</v>
      </c>
      <c r="I4201" s="6" t="s">
        <v>10968</v>
      </c>
      <c r="J4201" s="5">
        <v>265</v>
      </c>
    </row>
    <row r="4202" s="2" customFormat="1" ht="27" spans="1:10">
      <c r="A4202" s="6">
        <f>4200</f>
        <v>4200</v>
      </c>
      <c r="B4202" s="6" t="s">
        <v>10969</v>
      </c>
      <c r="C4202" s="6" t="s">
        <v>12</v>
      </c>
      <c r="D4202" s="6" t="s">
        <v>9344</v>
      </c>
      <c r="E4202" s="6" t="s">
        <v>10883</v>
      </c>
      <c r="F4202" s="6" t="s">
        <v>10970</v>
      </c>
      <c r="G4202" s="6" t="s">
        <v>16</v>
      </c>
      <c r="H4202" s="5">
        <v>6</v>
      </c>
      <c r="I4202" s="6" t="s">
        <v>10971</v>
      </c>
      <c r="J4202" s="5">
        <v>1200</v>
      </c>
    </row>
    <row r="4203" s="2" customFormat="1" ht="27" spans="1:10">
      <c r="A4203" s="6">
        <f>4201</f>
        <v>4201</v>
      </c>
      <c r="B4203" s="6" t="s">
        <v>10972</v>
      </c>
      <c r="C4203" s="6" t="s">
        <v>12</v>
      </c>
      <c r="D4203" s="6" t="s">
        <v>9344</v>
      </c>
      <c r="E4203" s="6" t="s">
        <v>10883</v>
      </c>
      <c r="F4203" s="6" t="s">
        <v>10973</v>
      </c>
      <c r="G4203" s="6" t="s">
        <v>16</v>
      </c>
      <c r="H4203" s="5">
        <v>4</v>
      </c>
      <c r="I4203" s="6" t="s">
        <v>10974</v>
      </c>
      <c r="J4203" s="5">
        <v>1860</v>
      </c>
    </row>
    <row r="4204" s="2" customFormat="1" ht="27" spans="1:10">
      <c r="A4204" s="6">
        <f>4202</f>
        <v>4202</v>
      </c>
      <c r="B4204" s="6" t="s">
        <v>10975</v>
      </c>
      <c r="C4204" s="6" t="s">
        <v>12</v>
      </c>
      <c r="D4204" s="6" t="s">
        <v>9344</v>
      </c>
      <c r="E4204" s="6" t="s">
        <v>10883</v>
      </c>
      <c r="F4204" s="6" t="s">
        <v>10976</v>
      </c>
      <c r="G4204" s="6" t="s">
        <v>16</v>
      </c>
      <c r="H4204" s="5">
        <v>5</v>
      </c>
      <c r="I4204" s="6" t="s">
        <v>10977</v>
      </c>
      <c r="J4204" s="5">
        <v>832</v>
      </c>
    </row>
    <row r="4205" s="2" customFormat="1" spans="1:10">
      <c r="A4205" s="6">
        <f>4203</f>
        <v>4203</v>
      </c>
      <c r="B4205" s="6" t="s">
        <v>10978</v>
      </c>
      <c r="C4205" s="6" t="s">
        <v>12</v>
      </c>
      <c r="D4205" s="6" t="s">
        <v>9344</v>
      </c>
      <c r="E4205" s="6" t="s">
        <v>10883</v>
      </c>
      <c r="F4205" s="6" t="s">
        <v>10979</v>
      </c>
      <c r="G4205" s="6" t="s">
        <v>16</v>
      </c>
      <c r="H4205" s="5">
        <v>1</v>
      </c>
      <c r="I4205" s="6" t="s">
        <v>10979</v>
      </c>
      <c r="J4205" s="5">
        <v>620</v>
      </c>
    </row>
    <row r="4206" s="2" customFormat="1" ht="27" spans="1:10">
      <c r="A4206" s="6">
        <f>4204</f>
        <v>4204</v>
      </c>
      <c r="B4206" s="6" t="s">
        <v>10980</v>
      </c>
      <c r="C4206" s="6" t="s">
        <v>12</v>
      </c>
      <c r="D4206" s="6" t="s">
        <v>9344</v>
      </c>
      <c r="E4206" s="6" t="s">
        <v>10883</v>
      </c>
      <c r="F4206" s="6" t="s">
        <v>10981</v>
      </c>
      <c r="G4206" s="6" t="s">
        <v>16</v>
      </c>
      <c r="H4206" s="5">
        <v>5</v>
      </c>
      <c r="I4206" s="6" t="s">
        <v>10982</v>
      </c>
      <c r="J4206" s="5">
        <v>900</v>
      </c>
    </row>
    <row r="4207" s="2" customFormat="1" ht="27" spans="1:10">
      <c r="A4207" s="6">
        <f>4205</f>
        <v>4205</v>
      </c>
      <c r="B4207" s="6" t="s">
        <v>10983</v>
      </c>
      <c r="C4207" s="6" t="s">
        <v>12</v>
      </c>
      <c r="D4207" s="6" t="s">
        <v>9344</v>
      </c>
      <c r="E4207" s="6" t="s">
        <v>10883</v>
      </c>
      <c r="F4207" s="6" t="s">
        <v>10984</v>
      </c>
      <c r="G4207" s="6" t="s">
        <v>16</v>
      </c>
      <c r="H4207" s="5">
        <v>5</v>
      </c>
      <c r="I4207" s="6" t="s">
        <v>10985</v>
      </c>
      <c r="J4207" s="5">
        <v>1300</v>
      </c>
    </row>
    <row r="4208" s="2" customFormat="1" ht="27" spans="1:10">
      <c r="A4208" s="6">
        <f>4206</f>
        <v>4206</v>
      </c>
      <c r="B4208" s="6" t="s">
        <v>10986</v>
      </c>
      <c r="C4208" s="6" t="s">
        <v>12</v>
      </c>
      <c r="D4208" s="6" t="s">
        <v>9344</v>
      </c>
      <c r="E4208" s="6" t="s">
        <v>10883</v>
      </c>
      <c r="F4208" s="6" t="s">
        <v>10987</v>
      </c>
      <c r="G4208" s="6" t="s">
        <v>16</v>
      </c>
      <c r="H4208" s="5">
        <v>4</v>
      </c>
      <c r="I4208" s="6" t="s">
        <v>10988</v>
      </c>
      <c r="J4208" s="5">
        <v>740</v>
      </c>
    </row>
    <row r="4209" s="2" customFormat="1" spans="1:10">
      <c r="A4209" s="6">
        <f>4207</f>
        <v>4207</v>
      </c>
      <c r="B4209" s="6" t="s">
        <v>10989</v>
      </c>
      <c r="C4209" s="6" t="s">
        <v>12</v>
      </c>
      <c r="D4209" s="6" t="s">
        <v>9344</v>
      </c>
      <c r="E4209" s="6" t="s">
        <v>10883</v>
      </c>
      <c r="F4209" s="6" t="s">
        <v>10990</v>
      </c>
      <c r="G4209" s="6" t="s">
        <v>16</v>
      </c>
      <c r="H4209" s="5">
        <v>3</v>
      </c>
      <c r="I4209" s="6" t="s">
        <v>10991</v>
      </c>
      <c r="J4209" s="5">
        <v>680</v>
      </c>
    </row>
    <row r="4210" s="2" customFormat="1" spans="1:10">
      <c r="A4210" s="6">
        <f>4208</f>
        <v>4208</v>
      </c>
      <c r="B4210" s="6" t="s">
        <v>10992</v>
      </c>
      <c r="C4210" s="6" t="s">
        <v>12</v>
      </c>
      <c r="D4210" s="6" t="s">
        <v>9344</v>
      </c>
      <c r="E4210" s="6" t="s">
        <v>10883</v>
      </c>
      <c r="F4210" s="6" t="s">
        <v>10993</v>
      </c>
      <c r="G4210" s="6" t="s">
        <v>16</v>
      </c>
      <c r="H4210" s="5">
        <v>2</v>
      </c>
      <c r="I4210" s="6" t="s">
        <v>10994</v>
      </c>
      <c r="J4210" s="5">
        <v>520</v>
      </c>
    </row>
    <row r="4211" s="2" customFormat="1" ht="27" spans="1:10">
      <c r="A4211" s="6">
        <f>4209</f>
        <v>4209</v>
      </c>
      <c r="B4211" s="6" t="s">
        <v>10995</v>
      </c>
      <c r="C4211" s="6" t="s">
        <v>12</v>
      </c>
      <c r="D4211" s="6" t="s">
        <v>9344</v>
      </c>
      <c r="E4211" s="6" t="s">
        <v>10883</v>
      </c>
      <c r="F4211" s="6" t="s">
        <v>10996</v>
      </c>
      <c r="G4211" s="6" t="s">
        <v>16</v>
      </c>
      <c r="H4211" s="5">
        <v>4</v>
      </c>
      <c r="I4211" s="6" t="s">
        <v>10997</v>
      </c>
      <c r="J4211" s="5">
        <v>1056</v>
      </c>
    </row>
    <row r="4212" s="2" customFormat="1" spans="1:10">
      <c r="A4212" s="6">
        <f>4210</f>
        <v>4210</v>
      </c>
      <c r="B4212" s="6" t="s">
        <v>10998</v>
      </c>
      <c r="C4212" s="6" t="s">
        <v>12</v>
      </c>
      <c r="D4212" s="6" t="s">
        <v>9344</v>
      </c>
      <c r="E4212" s="6" t="s">
        <v>10883</v>
      </c>
      <c r="F4212" s="6" t="s">
        <v>10999</v>
      </c>
      <c r="G4212" s="6" t="s">
        <v>16</v>
      </c>
      <c r="H4212" s="5">
        <v>3</v>
      </c>
      <c r="I4212" s="6" t="s">
        <v>11000</v>
      </c>
      <c r="J4212" s="5">
        <v>915</v>
      </c>
    </row>
    <row r="4213" s="2" customFormat="1" spans="1:10">
      <c r="A4213" s="6">
        <f>4211</f>
        <v>4211</v>
      </c>
      <c r="B4213" s="6" t="s">
        <v>11001</v>
      </c>
      <c r="C4213" s="6" t="s">
        <v>12</v>
      </c>
      <c r="D4213" s="6" t="s">
        <v>9344</v>
      </c>
      <c r="E4213" s="6" t="s">
        <v>10883</v>
      </c>
      <c r="F4213" s="6" t="s">
        <v>11002</v>
      </c>
      <c r="G4213" s="6" t="s">
        <v>16</v>
      </c>
      <c r="H4213" s="5">
        <v>1</v>
      </c>
      <c r="I4213" s="6" t="s">
        <v>11002</v>
      </c>
      <c r="J4213" s="5">
        <v>270</v>
      </c>
    </row>
    <row r="4214" s="2" customFormat="1" spans="1:10">
      <c r="A4214" s="6">
        <f>4212</f>
        <v>4212</v>
      </c>
      <c r="B4214" s="6" t="s">
        <v>11003</v>
      </c>
      <c r="C4214" s="6" t="s">
        <v>12</v>
      </c>
      <c r="D4214" s="6" t="s">
        <v>9344</v>
      </c>
      <c r="E4214" s="6" t="s">
        <v>10883</v>
      </c>
      <c r="F4214" s="6" t="s">
        <v>11004</v>
      </c>
      <c r="G4214" s="6" t="s">
        <v>16</v>
      </c>
      <c r="H4214" s="5">
        <v>2</v>
      </c>
      <c r="I4214" s="6" t="s">
        <v>11005</v>
      </c>
      <c r="J4214" s="5">
        <v>499</v>
      </c>
    </row>
    <row r="4215" s="2" customFormat="1" spans="1:10">
      <c r="A4215" s="6">
        <f>4213</f>
        <v>4213</v>
      </c>
      <c r="B4215" s="6" t="s">
        <v>11006</v>
      </c>
      <c r="C4215" s="6" t="s">
        <v>12</v>
      </c>
      <c r="D4215" s="6" t="s">
        <v>9344</v>
      </c>
      <c r="E4215" s="6" t="s">
        <v>10883</v>
      </c>
      <c r="F4215" s="6" t="s">
        <v>11007</v>
      </c>
      <c r="G4215" s="6" t="s">
        <v>16</v>
      </c>
      <c r="H4215" s="5">
        <v>2</v>
      </c>
      <c r="I4215" s="6" t="s">
        <v>11008</v>
      </c>
      <c r="J4215" s="5">
        <v>698</v>
      </c>
    </row>
    <row r="4216" s="2" customFormat="1" spans="1:10">
      <c r="A4216" s="6">
        <f>4214</f>
        <v>4214</v>
      </c>
      <c r="B4216" s="6" t="s">
        <v>11009</v>
      </c>
      <c r="C4216" s="6" t="s">
        <v>12</v>
      </c>
      <c r="D4216" s="6" t="s">
        <v>9344</v>
      </c>
      <c r="E4216" s="6" t="s">
        <v>10883</v>
      </c>
      <c r="F4216" s="6" t="s">
        <v>11010</v>
      </c>
      <c r="G4216" s="6" t="s">
        <v>16</v>
      </c>
      <c r="H4216" s="5">
        <v>3</v>
      </c>
      <c r="I4216" s="6" t="s">
        <v>11011</v>
      </c>
      <c r="J4216" s="5">
        <v>470</v>
      </c>
    </row>
    <row r="4217" s="2" customFormat="1" spans="1:10">
      <c r="A4217" s="6">
        <f>4215</f>
        <v>4215</v>
      </c>
      <c r="B4217" s="6" t="s">
        <v>11012</v>
      </c>
      <c r="C4217" s="6" t="s">
        <v>12</v>
      </c>
      <c r="D4217" s="6" t="s">
        <v>9344</v>
      </c>
      <c r="E4217" s="6" t="s">
        <v>10883</v>
      </c>
      <c r="F4217" s="6" t="s">
        <v>11013</v>
      </c>
      <c r="G4217" s="6" t="s">
        <v>16</v>
      </c>
      <c r="H4217" s="5">
        <v>2</v>
      </c>
      <c r="I4217" s="6" t="s">
        <v>11014</v>
      </c>
      <c r="J4217" s="5">
        <v>482</v>
      </c>
    </row>
    <row r="4218" s="2" customFormat="1" ht="27" spans="1:10">
      <c r="A4218" s="6">
        <f>4216</f>
        <v>4216</v>
      </c>
      <c r="B4218" s="6" t="s">
        <v>11015</v>
      </c>
      <c r="C4218" s="6" t="s">
        <v>12</v>
      </c>
      <c r="D4218" s="6" t="s">
        <v>9344</v>
      </c>
      <c r="E4218" s="6" t="s">
        <v>10883</v>
      </c>
      <c r="F4218" s="6" t="s">
        <v>11016</v>
      </c>
      <c r="G4218" s="6" t="s">
        <v>16</v>
      </c>
      <c r="H4218" s="5">
        <v>6</v>
      </c>
      <c r="I4218" s="6" t="s">
        <v>11017</v>
      </c>
      <c r="J4218" s="5">
        <v>960</v>
      </c>
    </row>
    <row r="4219" s="2" customFormat="1" spans="1:10">
      <c r="A4219" s="6">
        <f>4217</f>
        <v>4217</v>
      </c>
      <c r="B4219" s="6" t="s">
        <v>11018</v>
      </c>
      <c r="C4219" s="6" t="s">
        <v>12</v>
      </c>
      <c r="D4219" s="6" t="s">
        <v>9344</v>
      </c>
      <c r="E4219" s="6" t="s">
        <v>10883</v>
      </c>
      <c r="F4219" s="6" t="s">
        <v>11019</v>
      </c>
      <c r="G4219" s="6" t="s">
        <v>16</v>
      </c>
      <c r="H4219" s="5">
        <v>3</v>
      </c>
      <c r="I4219" s="6" t="s">
        <v>11020</v>
      </c>
      <c r="J4219" s="5">
        <v>691</v>
      </c>
    </row>
    <row r="4220" s="2" customFormat="1" spans="1:10">
      <c r="A4220" s="6">
        <f>4218</f>
        <v>4218</v>
      </c>
      <c r="B4220" s="6" t="s">
        <v>11021</v>
      </c>
      <c r="C4220" s="6" t="s">
        <v>12</v>
      </c>
      <c r="D4220" s="6" t="s">
        <v>9344</v>
      </c>
      <c r="E4220" s="6" t="s">
        <v>11022</v>
      </c>
      <c r="F4220" s="6" t="s">
        <v>11023</v>
      </c>
      <c r="G4220" s="6" t="s">
        <v>16</v>
      </c>
      <c r="H4220" s="5">
        <v>2</v>
      </c>
      <c r="I4220" s="6" t="s">
        <v>11024</v>
      </c>
      <c r="J4220" s="5">
        <v>500</v>
      </c>
    </row>
    <row r="4221" s="2" customFormat="1" spans="1:10">
      <c r="A4221" s="6">
        <f>4219</f>
        <v>4219</v>
      </c>
      <c r="B4221" s="6" t="s">
        <v>11025</v>
      </c>
      <c r="C4221" s="6" t="s">
        <v>12</v>
      </c>
      <c r="D4221" s="6" t="s">
        <v>9344</v>
      </c>
      <c r="E4221" s="6" t="s">
        <v>11022</v>
      </c>
      <c r="F4221" s="6" t="s">
        <v>11026</v>
      </c>
      <c r="G4221" s="6" t="s">
        <v>16</v>
      </c>
      <c r="H4221" s="5">
        <v>1</v>
      </c>
      <c r="I4221" s="6" t="s">
        <v>11026</v>
      </c>
      <c r="J4221" s="5">
        <v>260</v>
      </c>
    </row>
    <row r="4222" s="2" customFormat="1" spans="1:10">
      <c r="A4222" s="6">
        <f>4220</f>
        <v>4220</v>
      </c>
      <c r="B4222" s="6" t="s">
        <v>11027</v>
      </c>
      <c r="C4222" s="6" t="s">
        <v>12</v>
      </c>
      <c r="D4222" s="6" t="s">
        <v>9344</v>
      </c>
      <c r="E4222" s="6" t="s">
        <v>11022</v>
      </c>
      <c r="F4222" s="6" t="s">
        <v>11028</v>
      </c>
      <c r="G4222" s="6" t="s">
        <v>16</v>
      </c>
      <c r="H4222" s="5">
        <v>1</v>
      </c>
      <c r="I4222" s="6" t="s">
        <v>11028</v>
      </c>
      <c r="J4222" s="5">
        <v>620</v>
      </c>
    </row>
    <row r="4223" s="2" customFormat="1" spans="1:10">
      <c r="A4223" s="6">
        <f>4221</f>
        <v>4221</v>
      </c>
      <c r="B4223" s="6" t="s">
        <v>11029</v>
      </c>
      <c r="C4223" s="6" t="s">
        <v>12</v>
      </c>
      <c r="D4223" s="6" t="s">
        <v>9344</v>
      </c>
      <c r="E4223" s="6" t="s">
        <v>11022</v>
      </c>
      <c r="F4223" s="6" t="s">
        <v>11030</v>
      </c>
      <c r="G4223" s="6" t="s">
        <v>16</v>
      </c>
      <c r="H4223" s="5">
        <v>1</v>
      </c>
      <c r="I4223" s="6" t="s">
        <v>11030</v>
      </c>
      <c r="J4223" s="5">
        <v>440</v>
      </c>
    </row>
    <row r="4224" s="2" customFormat="1" spans="1:10">
      <c r="A4224" s="6">
        <f>4222</f>
        <v>4222</v>
      </c>
      <c r="B4224" s="6" t="s">
        <v>11031</v>
      </c>
      <c r="C4224" s="6" t="s">
        <v>12</v>
      </c>
      <c r="D4224" s="6" t="s">
        <v>9344</v>
      </c>
      <c r="E4224" s="6" t="s">
        <v>11022</v>
      </c>
      <c r="F4224" s="6" t="s">
        <v>11032</v>
      </c>
      <c r="G4224" s="6" t="s">
        <v>16</v>
      </c>
      <c r="H4224" s="5">
        <v>1</v>
      </c>
      <c r="I4224" s="6" t="s">
        <v>11032</v>
      </c>
      <c r="J4224" s="5">
        <v>620</v>
      </c>
    </row>
    <row r="4225" s="2" customFormat="1" spans="1:10">
      <c r="A4225" s="6">
        <f>4223</f>
        <v>4223</v>
      </c>
      <c r="B4225" s="6" t="s">
        <v>11033</v>
      </c>
      <c r="C4225" s="6" t="s">
        <v>12</v>
      </c>
      <c r="D4225" s="6" t="s">
        <v>9344</v>
      </c>
      <c r="E4225" s="6" t="s">
        <v>11022</v>
      </c>
      <c r="F4225" s="6" t="s">
        <v>11034</v>
      </c>
      <c r="G4225" s="6" t="s">
        <v>16</v>
      </c>
      <c r="H4225" s="5">
        <v>2</v>
      </c>
      <c r="I4225" s="6" t="s">
        <v>11035</v>
      </c>
      <c r="J4225" s="5">
        <v>580</v>
      </c>
    </row>
    <row r="4226" s="2" customFormat="1" spans="1:10">
      <c r="A4226" s="6">
        <f>4224</f>
        <v>4224</v>
      </c>
      <c r="B4226" s="6" t="s">
        <v>11036</v>
      </c>
      <c r="C4226" s="6" t="s">
        <v>12</v>
      </c>
      <c r="D4226" s="6" t="s">
        <v>9344</v>
      </c>
      <c r="E4226" s="6" t="s">
        <v>11022</v>
      </c>
      <c r="F4226" s="6" t="s">
        <v>11037</v>
      </c>
      <c r="G4226" s="6" t="s">
        <v>16</v>
      </c>
      <c r="H4226" s="5">
        <v>1</v>
      </c>
      <c r="I4226" s="6" t="s">
        <v>11037</v>
      </c>
      <c r="J4226" s="5">
        <v>345</v>
      </c>
    </row>
    <row r="4227" s="2" customFormat="1" ht="27" spans="1:10">
      <c r="A4227" s="6">
        <f>4225</f>
        <v>4225</v>
      </c>
      <c r="B4227" s="6" t="s">
        <v>11038</v>
      </c>
      <c r="C4227" s="6" t="s">
        <v>12</v>
      </c>
      <c r="D4227" s="6" t="s">
        <v>9344</v>
      </c>
      <c r="E4227" s="6" t="s">
        <v>11022</v>
      </c>
      <c r="F4227" s="6" t="s">
        <v>11039</v>
      </c>
      <c r="G4227" s="6" t="s">
        <v>16</v>
      </c>
      <c r="H4227" s="5">
        <v>4</v>
      </c>
      <c r="I4227" s="6" t="s">
        <v>11040</v>
      </c>
      <c r="J4227" s="5">
        <v>784</v>
      </c>
    </row>
    <row r="4228" s="2" customFormat="1" spans="1:10">
      <c r="A4228" s="6">
        <f>4226</f>
        <v>4226</v>
      </c>
      <c r="B4228" s="6" t="s">
        <v>11041</v>
      </c>
      <c r="C4228" s="6" t="s">
        <v>12</v>
      </c>
      <c r="D4228" s="6" t="s">
        <v>9344</v>
      </c>
      <c r="E4228" s="6" t="s">
        <v>11022</v>
      </c>
      <c r="F4228" s="6" t="s">
        <v>11042</v>
      </c>
      <c r="G4228" s="6" t="s">
        <v>16</v>
      </c>
      <c r="H4228" s="5">
        <v>2</v>
      </c>
      <c r="I4228" s="6" t="s">
        <v>11043</v>
      </c>
      <c r="J4228" s="5">
        <v>482</v>
      </c>
    </row>
    <row r="4229" s="2" customFormat="1" spans="1:10">
      <c r="A4229" s="6">
        <f>4227</f>
        <v>4227</v>
      </c>
      <c r="B4229" s="6" t="s">
        <v>11044</v>
      </c>
      <c r="C4229" s="6" t="s">
        <v>12</v>
      </c>
      <c r="D4229" s="6" t="s">
        <v>9344</v>
      </c>
      <c r="E4229" s="6" t="s">
        <v>11022</v>
      </c>
      <c r="F4229" s="6" t="s">
        <v>11045</v>
      </c>
      <c r="G4229" s="6" t="s">
        <v>16</v>
      </c>
      <c r="H4229" s="5">
        <v>1</v>
      </c>
      <c r="I4229" s="6" t="s">
        <v>11045</v>
      </c>
      <c r="J4229" s="5">
        <v>270</v>
      </c>
    </row>
    <row r="4230" s="2" customFormat="1" spans="1:10">
      <c r="A4230" s="6">
        <f>4228</f>
        <v>4228</v>
      </c>
      <c r="B4230" s="6" t="s">
        <v>11046</v>
      </c>
      <c r="C4230" s="6" t="s">
        <v>12</v>
      </c>
      <c r="D4230" s="6" t="s">
        <v>9344</v>
      </c>
      <c r="E4230" s="6" t="s">
        <v>11022</v>
      </c>
      <c r="F4230" s="6" t="s">
        <v>11047</v>
      </c>
      <c r="G4230" s="6" t="s">
        <v>16</v>
      </c>
      <c r="H4230" s="5">
        <v>1</v>
      </c>
      <c r="I4230" s="6" t="s">
        <v>11047</v>
      </c>
      <c r="J4230" s="5">
        <v>238</v>
      </c>
    </row>
    <row r="4231" s="2" customFormat="1" spans="1:10">
      <c r="A4231" s="6">
        <f>4229</f>
        <v>4229</v>
      </c>
      <c r="B4231" s="6" t="s">
        <v>11048</v>
      </c>
      <c r="C4231" s="6" t="s">
        <v>12</v>
      </c>
      <c r="D4231" s="6" t="s">
        <v>9344</v>
      </c>
      <c r="E4231" s="6" t="s">
        <v>11022</v>
      </c>
      <c r="F4231" s="6" t="s">
        <v>11049</v>
      </c>
      <c r="G4231" s="6" t="s">
        <v>16</v>
      </c>
      <c r="H4231" s="5">
        <v>1</v>
      </c>
      <c r="I4231" s="6" t="s">
        <v>11049</v>
      </c>
      <c r="J4231" s="5">
        <v>260</v>
      </c>
    </row>
    <row r="4232" s="2" customFormat="1" spans="1:10">
      <c r="A4232" s="6">
        <f>4230</f>
        <v>4230</v>
      </c>
      <c r="B4232" s="6" t="s">
        <v>11050</v>
      </c>
      <c r="C4232" s="6" t="s">
        <v>12</v>
      </c>
      <c r="D4232" s="6" t="s">
        <v>9344</v>
      </c>
      <c r="E4232" s="6" t="s">
        <v>11022</v>
      </c>
      <c r="F4232" s="6" t="s">
        <v>11051</v>
      </c>
      <c r="G4232" s="6" t="s">
        <v>16</v>
      </c>
      <c r="H4232" s="5">
        <v>1</v>
      </c>
      <c r="I4232" s="6" t="s">
        <v>11051</v>
      </c>
      <c r="J4232" s="5">
        <v>273</v>
      </c>
    </row>
    <row r="4233" s="2" customFormat="1" spans="1:10">
      <c r="A4233" s="6">
        <f>4231</f>
        <v>4231</v>
      </c>
      <c r="B4233" s="6" t="s">
        <v>11052</v>
      </c>
      <c r="C4233" s="6" t="s">
        <v>12</v>
      </c>
      <c r="D4233" s="6" t="s">
        <v>9344</v>
      </c>
      <c r="E4233" s="6" t="s">
        <v>11022</v>
      </c>
      <c r="F4233" s="6" t="s">
        <v>11053</v>
      </c>
      <c r="G4233" s="6" t="s">
        <v>16</v>
      </c>
      <c r="H4233" s="5">
        <v>1</v>
      </c>
      <c r="I4233" s="6" t="s">
        <v>11053</v>
      </c>
      <c r="J4233" s="5">
        <v>440</v>
      </c>
    </row>
    <row r="4234" s="2" customFormat="1" spans="1:10">
      <c r="A4234" s="6">
        <f>4232</f>
        <v>4232</v>
      </c>
      <c r="B4234" s="6" t="s">
        <v>11054</v>
      </c>
      <c r="C4234" s="6" t="s">
        <v>12</v>
      </c>
      <c r="D4234" s="6" t="s">
        <v>9344</v>
      </c>
      <c r="E4234" s="6" t="s">
        <v>11022</v>
      </c>
      <c r="F4234" s="6" t="s">
        <v>11055</v>
      </c>
      <c r="G4234" s="6" t="s">
        <v>16</v>
      </c>
      <c r="H4234" s="5">
        <v>1</v>
      </c>
      <c r="I4234" s="6" t="s">
        <v>11055</v>
      </c>
      <c r="J4234" s="5">
        <v>238</v>
      </c>
    </row>
    <row r="4235" s="2" customFormat="1" spans="1:10">
      <c r="A4235" s="6">
        <f>4233</f>
        <v>4233</v>
      </c>
      <c r="B4235" s="6" t="s">
        <v>11056</v>
      </c>
      <c r="C4235" s="6" t="s">
        <v>12</v>
      </c>
      <c r="D4235" s="6" t="s">
        <v>9344</v>
      </c>
      <c r="E4235" s="6" t="s">
        <v>11022</v>
      </c>
      <c r="F4235" s="6" t="s">
        <v>11057</v>
      </c>
      <c r="G4235" s="6" t="s">
        <v>16</v>
      </c>
      <c r="H4235" s="5">
        <v>2</v>
      </c>
      <c r="I4235" s="6" t="s">
        <v>11058</v>
      </c>
      <c r="J4235" s="5">
        <v>617</v>
      </c>
    </row>
    <row r="4236" s="2" customFormat="1" spans="1:10">
      <c r="A4236" s="6">
        <f>4234</f>
        <v>4234</v>
      </c>
      <c r="B4236" s="6" t="s">
        <v>11059</v>
      </c>
      <c r="C4236" s="6" t="s">
        <v>12</v>
      </c>
      <c r="D4236" s="6" t="s">
        <v>9344</v>
      </c>
      <c r="E4236" s="6" t="s">
        <v>11022</v>
      </c>
      <c r="F4236" s="6" t="s">
        <v>11060</v>
      </c>
      <c r="G4236" s="6" t="s">
        <v>16</v>
      </c>
      <c r="H4236" s="5">
        <v>1</v>
      </c>
      <c r="I4236" s="6" t="s">
        <v>11060</v>
      </c>
      <c r="J4236" s="5">
        <v>238</v>
      </c>
    </row>
    <row r="4237" s="2" customFormat="1" spans="1:10">
      <c r="A4237" s="6">
        <f>4235</f>
        <v>4235</v>
      </c>
      <c r="B4237" s="6" t="s">
        <v>11061</v>
      </c>
      <c r="C4237" s="6" t="s">
        <v>12</v>
      </c>
      <c r="D4237" s="6" t="s">
        <v>9344</v>
      </c>
      <c r="E4237" s="6" t="s">
        <v>11022</v>
      </c>
      <c r="F4237" s="6" t="s">
        <v>11062</v>
      </c>
      <c r="G4237" s="6" t="s">
        <v>16</v>
      </c>
      <c r="H4237" s="5">
        <v>1</v>
      </c>
      <c r="I4237" s="6" t="s">
        <v>11062</v>
      </c>
      <c r="J4237" s="5">
        <v>220</v>
      </c>
    </row>
    <row r="4238" s="2" customFormat="1" ht="27" spans="1:10">
      <c r="A4238" s="6">
        <f>4236</f>
        <v>4236</v>
      </c>
      <c r="B4238" s="6" t="s">
        <v>11063</v>
      </c>
      <c r="C4238" s="6" t="s">
        <v>12</v>
      </c>
      <c r="D4238" s="6" t="s">
        <v>9344</v>
      </c>
      <c r="E4238" s="6" t="s">
        <v>11022</v>
      </c>
      <c r="F4238" s="6" t="s">
        <v>11064</v>
      </c>
      <c r="G4238" s="6" t="s">
        <v>16</v>
      </c>
      <c r="H4238" s="5">
        <v>5</v>
      </c>
      <c r="I4238" s="6" t="s">
        <v>11065</v>
      </c>
      <c r="J4238" s="5">
        <v>710</v>
      </c>
    </row>
    <row r="4239" s="2" customFormat="1" spans="1:10">
      <c r="A4239" s="6">
        <f>4237</f>
        <v>4237</v>
      </c>
      <c r="B4239" s="6" t="s">
        <v>11066</v>
      </c>
      <c r="C4239" s="6" t="s">
        <v>12</v>
      </c>
      <c r="D4239" s="6" t="s">
        <v>9344</v>
      </c>
      <c r="E4239" s="6" t="s">
        <v>11022</v>
      </c>
      <c r="F4239" s="6" t="s">
        <v>11067</v>
      </c>
      <c r="G4239" s="6" t="s">
        <v>16</v>
      </c>
      <c r="H4239" s="5">
        <v>1</v>
      </c>
      <c r="I4239" s="6" t="s">
        <v>11067</v>
      </c>
      <c r="J4239" s="5">
        <v>265</v>
      </c>
    </row>
    <row r="4240" s="2" customFormat="1" spans="1:10">
      <c r="A4240" s="6">
        <f>4238</f>
        <v>4238</v>
      </c>
      <c r="B4240" s="6" t="s">
        <v>11068</v>
      </c>
      <c r="C4240" s="6" t="s">
        <v>12</v>
      </c>
      <c r="D4240" s="6" t="s">
        <v>9344</v>
      </c>
      <c r="E4240" s="6" t="s">
        <v>11022</v>
      </c>
      <c r="F4240" s="6" t="s">
        <v>11069</v>
      </c>
      <c r="G4240" s="6" t="s">
        <v>16</v>
      </c>
      <c r="H4240" s="5">
        <v>1</v>
      </c>
      <c r="I4240" s="6" t="s">
        <v>11069</v>
      </c>
      <c r="J4240" s="5">
        <v>265</v>
      </c>
    </row>
    <row r="4241" s="2" customFormat="1" spans="1:10">
      <c r="A4241" s="6">
        <f>4239</f>
        <v>4239</v>
      </c>
      <c r="B4241" s="6" t="s">
        <v>11070</v>
      </c>
      <c r="C4241" s="6" t="s">
        <v>12</v>
      </c>
      <c r="D4241" s="6" t="s">
        <v>9344</v>
      </c>
      <c r="E4241" s="6" t="s">
        <v>11022</v>
      </c>
      <c r="F4241" s="6" t="s">
        <v>11071</v>
      </c>
      <c r="G4241" s="6" t="s">
        <v>16</v>
      </c>
      <c r="H4241" s="5">
        <v>1</v>
      </c>
      <c r="I4241" s="6" t="s">
        <v>11071</v>
      </c>
      <c r="J4241" s="5">
        <v>265</v>
      </c>
    </row>
    <row r="4242" s="2" customFormat="1" spans="1:10">
      <c r="A4242" s="6">
        <f>4240</f>
        <v>4240</v>
      </c>
      <c r="B4242" s="6" t="s">
        <v>11072</v>
      </c>
      <c r="C4242" s="6" t="s">
        <v>12</v>
      </c>
      <c r="D4242" s="6" t="s">
        <v>9344</v>
      </c>
      <c r="E4242" s="6" t="s">
        <v>11022</v>
      </c>
      <c r="F4242" s="6" t="s">
        <v>11073</v>
      </c>
      <c r="G4242" s="6" t="s">
        <v>16</v>
      </c>
      <c r="H4242" s="5">
        <v>1</v>
      </c>
      <c r="I4242" s="6" t="s">
        <v>11073</v>
      </c>
      <c r="J4242" s="5">
        <v>440</v>
      </c>
    </row>
    <row r="4243" s="2" customFormat="1" spans="1:10">
      <c r="A4243" s="6">
        <f>4241</f>
        <v>4241</v>
      </c>
      <c r="B4243" s="6" t="s">
        <v>11074</v>
      </c>
      <c r="C4243" s="6" t="s">
        <v>12</v>
      </c>
      <c r="D4243" s="6" t="s">
        <v>9344</v>
      </c>
      <c r="E4243" s="6" t="s">
        <v>11022</v>
      </c>
      <c r="F4243" s="6" t="s">
        <v>11075</v>
      </c>
      <c r="G4243" s="6" t="s">
        <v>16</v>
      </c>
      <c r="H4243" s="5">
        <v>1</v>
      </c>
      <c r="I4243" s="6" t="s">
        <v>11075</v>
      </c>
      <c r="J4243" s="5">
        <v>238</v>
      </c>
    </row>
    <row r="4244" s="2" customFormat="1" spans="1:10">
      <c r="A4244" s="6">
        <f>4242</f>
        <v>4242</v>
      </c>
      <c r="B4244" s="6" t="s">
        <v>11076</v>
      </c>
      <c r="C4244" s="6" t="s">
        <v>12</v>
      </c>
      <c r="D4244" s="6" t="s">
        <v>9344</v>
      </c>
      <c r="E4244" s="6" t="s">
        <v>11022</v>
      </c>
      <c r="F4244" s="6" t="s">
        <v>11077</v>
      </c>
      <c r="G4244" s="6" t="s">
        <v>16</v>
      </c>
      <c r="H4244" s="5">
        <v>1</v>
      </c>
      <c r="I4244" s="6" t="s">
        <v>11077</v>
      </c>
      <c r="J4244" s="5">
        <v>468</v>
      </c>
    </row>
    <row r="4245" s="2" customFormat="1" spans="1:10">
      <c r="A4245" s="6">
        <f>4243</f>
        <v>4243</v>
      </c>
      <c r="B4245" s="6" t="s">
        <v>11078</v>
      </c>
      <c r="C4245" s="6" t="s">
        <v>12</v>
      </c>
      <c r="D4245" s="6" t="s">
        <v>9344</v>
      </c>
      <c r="E4245" s="6" t="s">
        <v>11022</v>
      </c>
      <c r="F4245" s="6" t="s">
        <v>11079</v>
      </c>
      <c r="G4245" s="6" t="s">
        <v>16</v>
      </c>
      <c r="H4245" s="5">
        <v>1</v>
      </c>
      <c r="I4245" s="6" t="s">
        <v>11079</v>
      </c>
      <c r="J4245" s="5">
        <v>260</v>
      </c>
    </row>
    <row r="4246" s="2" customFormat="1" spans="1:10">
      <c r="A4246" s="6">
        <f>4244</f>
        <v>4244</v>
      </c>
      <c r="B4246" s="6" t="s">
        <v>11080</v>
      </c>
      <c r="C4246" s="6" t="s">
        <v>12</v>
      </c>
      <c r="D4246" s="6" t="s">
        <v>9344</v>
      </c>
      <c r="E4246" s="6" t="s">
        <v>11022</v>
      </c>
      <c r="F4246" s="6" t="s">
        <v>11081</v>
      </c>
      <c r="G4246" s="6" t="s">
        <v>16</v>
      </c>
      <c r="H4246" s="5">
        <v>1</v>
      </c>
      <c r="I4246" s="6" t="s">
        <v>11081</v>
      </c>
      <c r="J4246" s="5">
        <v>265</v>
      </c>
    </row>
    <row r="4247" s="2" customFormat="1" ht="27" spans="1:10">
      <c r="A4247" s="6">
        <f>4245</f>
        <v>4245</v>
      </c>
      <c r="B4247" s="6" t="s">
        <v>11082</v>
      </c>
      <c r="C4247" s="6" t="s">
        <v>12</v>
      </c>
      <c r="D4247" s="6" t="s">
        <v>9344</v>
      </c>
      <c r="E4247" s="6" t="s">
        <v>11022</v>
      </c>
      <c r="F4247" s="6" t="s">
        <v>11083</v>
      </c>
      <c r="G4247" s="6" t="s">
        <v>16</v>
      </c>
      <c r="H4247" s="5">
        <v>6</v>
      </c>
      <c r="I4247" s="6" t="s">
        <v>11084</v>
      </c>
      <c r="J4247" s="5">
        <v>662</v>
      </c>
    </row>
    <row r="4248" s="2" customFormat="1" spans="1:10">
      <c r="A4248" s="6">
        <f>4246</f>
        <v>4246</v>
      </c>
      <c r="B4248" s="6" t="s">
        <v>11085</v>
      </c>
      <c r="C4248" s="6" t="s">
        <v>12</v>
      </c>
      <c r="D4248" s="6" t="s">
        <v>9344</v>
      </c>
      <c r="E4248" s="6" t="s">
        <v>11022</v>
      </c>
      <c r="F4248" s="6" t="s">
        <v>11086</v>
      </c>
      <c r="G4248" s="6" t="s">
        <v>16</v>
      </c>
      <c r="H4248" s="5">
        <v>1</v>
      </c>
      <c r="I4248" s="6" t="s">
        <v>11086</v>
      </c>
      <c r="J4248" s="5">
        <v>238</v>
      </c>
    </row>
    <row r="4249" s="2" customFormat="1" spans="1:10">
      <c r="A4249" s="6">
        <f>4247</f>
        <v>4247</v>
      </c>
      <c r="B4249" s="6" t="s">
        <v>11087</v>
      </c>
      <c r="C4249" s="6" t="s">
        <v>12</v>
      </c>
      <c r="D4249" s="6" t="s">
        <v>9344</v>
      </c>
      <c r="E4249" s="6" t="s">
        <v>11022</v>
      </c>
      <c r="F4249" s="6" t="s">
        <v>11088</v>
      </c>
      <c r="G4249" s="6" t="s">
        <v>16</v>
      </c>
      <c r="H4249" s="5">
        <v>1</v>
      </c>
      <c r="I4249" s="6" t="s">
        <v>11088</v>
      </c>
      <c r="J4249" s="5">
        <v>268</v>
      </c>
    </row>
    <row r="4250" s="2" customFormat="1" ht="27" spans="1:10">
      <c r="A4250" s="6">
        <f>4248</f>
        <v>4248</v>
      </c>
      <c r="B4250" s="6" t="s">
        <v>11089</v>
      </c>
      <c r="C4250" s="6" t="s">
        <v>12</v>
      </c>
      <c r="D4250" s="6" t="s">
        <v>9344</v>
      </c>
      <c r="E4250" s="6" t="s">
        <v>11022</v>
      </c>
      <c r="F4250" s="6" t="s">
        <v>11090</v>
      </c>
      <c r="G4250" s="6" t="s">
        <v>16</v>
      </c>
      <c r="H4250" s="5">
        <v>5</v>
      </c>
      <c r="I4250" s="6" t="s">
        <v>11091</v>
      </c>
      <c r="J4250" s="5">
        <v>900</v>
      </c>
    </row>
    <row r="4251" s="2" customFormat="1" spans="1:10">
      <c r="A4251" s="6">
        <f>4249</f>
        <v>4249</v>
      </c>
      <c r="B4251" s="6" t="s">
        <v>11092</v>
      </c>
      <c r="C4251" s="6" t="s">
        <v>12</v>
      </c>
      <c r="D4251" s="6" t="s">
        <v>9344</v>
      </c>
      <c r="E4251" s="6" t="s">
        <v>11022</v>
      </c>
      <c r="F4251" s="6" t="s">
        <v>11093</v>
      </c>
      <c r="G4251" s="6" t="s">
        <v>16</v>
      </c>
      <c r="H4251" s="5">
        <v>1</v>
      </c>
      <c r="I4251" s="6" t="s">
        <v>11093</v>
      </c>
      <c r="J4251" s="5">
        <v>295</v>
      </c>
    </row>
    <row r="4252" s="2" customFormat="1" spans="1:10">
      <c r="A4252" s="6">
        <f>4250</f>
        <v>4250</v>
      </c>
      <c r="B4252" s="6" t="s">
        <v>11094</v>
      </c>
      <c r="C4252" s="6" t="s">
        <v>12</v>
      </c>
      <c r="D4252" s="6" t="s">
        <v>9344</v>
      </c>
      <c r="E4252" s="6" t="s">
        <v>11022</v>
      </c>
      <c r="F4252" s="6" t="s">
        <v>11095</v>
      </c>
      <c r="G4252" s="6" t="s">
        <v>16</v>
      </c>
      <c r="H4252" s="5">
        <v>1</v>
      </c>
      <c r="I4252" s="6" t="s">
        <v>11095</v>
      </c>
      <c r="J4252" s="5">
        <v>265</v>
      </c>
    </row>
    <row r="4253" s="2" customFormat="1" spans="1:10">
      <c r="A4253" s="6">
        <f>4251</f>
        <v>4251</v>
      </c>
      <c r="B4253" s="6" t="s">
        <v>11096</v>
      </c>
      <c r="C4253" s="6" t="s">
        <v>12</v>
      </c>
      <c r="D4253" s="6" t="s">
        <v>9344</v>
      </c>
      <c r="E4253" s="6" t="s">
        <v>11022</v>
      </c>
      <c r="F4253" s="6" t="s">
        <v>11097</v>
      </c>
      <c r="G4253" s="6" t="s">
        <v>16</v>
      </c>
      <c r="H4253" s="5">
        <v>1</v>
      </c>
      <c r="I4253" s="6" t="s">
        <v>11097</v>
      </c>
      <c r="J4253" s="5">
        <v>273</v>
      </c>
    </row>
    <row r="4254" s="2" customFormat="1" ht="27" spans="1:10">
      <c r="A4254" s="6">
        <f>4252</f>
        <v>4252</v>
      </c>
      <c r="B4254" s="6" t="s">
        <v>11098</v>
      </c>
      <c r="C4254" s="6" t="s">
        <v>12</v>
      </c>
      <c r="D4254" s="6" t="s">
        <v>9344</v>
      </c>
      <c r="E4254" s="6" t="s">
        <v>11022</v>
      </c>
      <c r="F4254" s="6" t="s">
        <v>11099</v>
      </c>
      <c r="G4254" s="6" t="s">
        <v>16</v>
      </c>
      <c r="H4254" s="5">
        <v>5</v>
      </c>
      <c r="I4254" s="6" t="s">
        <v>11100</v>
      </c>
      <c r="J4254" s="5">
        <v>1000</v>
      </c>
    </row>
    <row r="4255" s="2" customFormat="1" spans="1:10">
      <c r="A4255" s="6">
        <f>4253</f>
        <v>4253</v>
      </c>
      <c r="B4255" s="6" t="s">
        <v>11101</v>
      </c>
      <c r="C4255" s="6" t="s">
        <v>12</v>
      </c>
      <c r="D4255" s="6" t="s">
        <v>9344</v>
      </c>
      <c r="E4255" s="6" t="s">
        <v>11022</v>
      </c>
      <c r="F4255" s="6" t="s">
        <v>11102</v>
      </c>
      <c r="G4255" s="6" t="s">
        <v>16</v>
      </c>
      <c r="H4255" s="5">
        <v>1</v>
      </c>
      <c r="I4255" s="6" t="s">
        <v>11102</v>
      </c>
      <c r="J4255" s="5">
        <v>265</v>
      </c>
    </row>
    <row r="4256" s="2" customFormat="1" spans="1:10">
      <c r="A4256" s="6">
        <f>4254</f>
        <v>4254</v>
      </c>
      <c r="B4256" s="6" t="s">
        <v>11103</v>
      </c>
      <c r="C4256" s="6" t="s">
        <v>12</v>
      </c>
      <c r="D4256" s="6" t="s">
        <v>9344</v>
      </c>
      <c r="E4256" s="6" t="s">
        <v>11022</v>
      </c>
      <c r="F4256" s="6" t="s">
        <v>11104</v>
      </c>
      <c r="G4256" s="6" t="s">
        <v>16</v>
      </c>
      <c r="H4256" s="5">
        <v>1</v>
      </c>
      <c r="I4256" s="6" t="s">
        <v>11104</v>
      </c>
      <c r="J4256" s="5">
        <v>238</v>
      </c>
    </row>
    <row r="4257" s="2" customFormat="1" spans="1:10">
      <c r="A4257" s="6">
        <f>4255</f>
        <v>4255</v>
      </c>
      <c r="B4257" s="6" t="s">
        <v>11105</v>
      </c>
      <c r="C4257" s="6" t="s">
        <v>12</v>
      </c>
      <c r="D4257" s="6" t="s">
        <v>9344</v>
      </c>
      <c r="E4257" s="6" t="s">
        <v>11022</v>
      </c>
      <c r="F4257" s="6" t="s">
        <v>11106</v>
      </c>
      <c r="G4257" s="6" t="s">
        <v>16</v>
      </c>
      <c r="H4257" s="5">
        <v>3</v>
      </c>
      <c r="I4257" s="6" t="s">
        <v>11107</v>
      </c>
      <c r="J4257" s="5">
        <v>1420</v>
      </c>
    </row>
    <row r="4258" s="2" customFormat="1" spans="1:10">
      <c r="A4258" s="6">
        <f>4256</f>
        <v>4256</v>
      </c>
      <c r="B4258" s="6" t="s">
        <v>11108</v>
      </c>
      <c r="C4258" s="6" t="s">
        <v>12</v>
      </c>
      <c r="D4258" s="6" t="s">
        <v>9344</v>
      </c>
      <c r="E4258" s="6" t="s">
        <v>11022</v>
      </c>
      <c r="F4258" s="6" t="s">
        <v>11109</v>
      </c>
      <c r="G4258" s="6" t="s">
        <v>16</v>
      </c>
      <c r="H4258" s="5">
        <v>1</v>
      </c>
      <c r="I4258" s="6" t="s">
        <v>11109</v>
      </c>
      <c r="J4258" s="5">
        <v>238</v>
      </c>
    </row>
    <row r="4259" s="2" customFormat="1" ht="40.5" spans="1:10">
      <c r="A4259" s="6">
        <f>4257</f>
        <v>4257</v>
      </c>
      <c r="B4259" s="6" t="s">
        <v>11110</v>
      </c>
      <c r="C4259" s="6" t="s">
        <v>12</v>
      </c>
      <c r="D4259" s="6" t="s">
        <v>9344</v>
      </c>
      <c r="E4259" s="6" t="s">
        <v>11022</v>
      </c>
      <c r="F4259" s="6" t="s">
        <v>11111</v>
      </c>
      <c r="G4259" s="6" t="s">
        <v>16</v>
      </c>
      <c r="H4259" s="5">
        <v>7</v>
      </c>
      <c r="I4259" s="6" t="s">
        <v>11112</v>
      </c>
      <c r="J4259" s="5">
        <v>625</v>
      </c>
    </row>
    <row r="4260" s="2" customFormat="1" spans="1:10">
      <c r="A4260" s="6">
        <f>4258</f>
        <v>4258</v>
      </c>
      <c r="B4260" s="6" t="s">
        <v>11113</v>
      </c>
      <c r="C4260" s="6" t="s">
        <v>12</v>
      </c>
      <c r="D4260" s="6" t="s">
        <v>9344</v>
      </c>
      <c r="E4260" s="6" t="s">
        <v>11022</v>
      </c>
      <c r="F4260" s="6" t="s">
        <v>11114</v>
      </c>
      <c r="G4260" s="6" t="s">
        <v>16</v>
      </c>
      <c r="H4260" s="5">
        <v>1</v>
      </c>
      <c r="I4260" s="6" t="s">
        <v>11114</v>
      </c>
      <c r="J4260" s="5">
        <v>265</v>
      </c>
    </row>
    <row r="4261" s="2" customFormat="1" spans="1:10">
      <c r="A4261" s="6">
        <f>4259</f>
        <v>4259</v>
      </c>
      <c r="B4261" s="6" t="s">
        <v>11115</v>
      </c>
      <c r="C4261" s="6" t="s">
        <v>12</v>
      </c>
      <c r="D4261" s="6" t="s">
        <v>9344</v>
      </c>
      <c r="E4261" s="6" t="s">
        <v>11022</v>
      </c>
      <c r="F4261" s="6" t="s">
        <v>11116</v>
      </c>
      <c r="G4261" s="6" t="s">
        <v>16</v>
      </c>
      <c r="H4261" s="5">
        <v>3</v>
      </c>
      <c r="I4261" s="6" t="s">
        <v>11117</v>
      </c>
      <c r="J4261" s="5">
        <v>980</v>
      </c>
    </row>
    <row r="4262" s="2" customFormat="1" spans="1:10">
      <c r="A4262" s="6">
        <f>4260</f>
        <v>4260</v>
      </c>
      <c r="B4262" s="6" t="s">
        <v>11118</v>
      </c>
      <c r="C4262" s="6" t="s">
        <v>12</v>
      </c>
      <c r="D4262" s="6" t="s">
        <v>9344</v>
      </c>
      <c r="E4262" s="6" t="s">
        <v>11022</v>
      </c>
      <c r="F4262" s="6" t="s">
        <v>11119</v>
      </c>
      <c r="G4262" s="6" t="s">
        <v>16</v>
      </c>
      <c r="H4262" s="5">
        <v>1</v>
      </c>
      <c r="I4262" s="6" t="s">
        <v>11119</v>
      </c>
      <c r="J4262" s="5">
        <v>448</v>
      </c>
    </row>
    <row r="4263" s="2" customFormat="1" spans="1:10">
      <c r="A4263" s="6">
        <f>4261</f>
        <v>4261</v>
      </c>
      <c r="B4263" s="6" t="s">
        <v>11120</v>
      </c>
      <c r="C4263" s="6" t="s">
        <v>12</v>
      </c>
      <c r="D4263" s="6" t="s">
        <v>9344</v>
      </c>
      <c r="E4263" s="6" t="s">
        <v>11022</v>
      </c>
      <c r="F4263" s="6" t="s">
        <v>11121</v>
      </c>
      <c r="G4263" s="6" t="s">
        <v>16</v>
      </c>
      <c r="H4263" s="5">
        <v>3</v>
      </c>
      <c r="I4263" s="6" t="s">
        <v>11122</v>
      </c>
      <c r="J4263" s="5">
        <v>385</v>
      </c>
    </row>
    <row r="4264" s="2" customFormat="1" spans="1:10">
      <c r="A4264" s="6">
        <f>4262</f>
        <v>4262</v>
      </c>
      <c r="B4264" s="6" t="s">
        <v>11123</v>
      </c>
      <c r="C4264" s="6" t="s">
        <v>12</v>
      </c>
      <c r="D4264" s="6" t="s">
        <v>9344</v>
      </c>
      <c r="E4264" s="6" t="s">
        <v>11022</v>
      </c>
      <c r="F4264" s="6" t="s">
        <v>11124</v>
      </c>
      <c r="G4264" s="6" t="s">
        <v>16</v>
      </c>
      <c r="H4264" s="5">
        <v>1</v>
      </c>
      <c r="I4264" s="6" t="s">
        <v>11124</v>
      </c>
      <c r="J4264" s="5">
        <v>238</v>
      </c>
    </row>
    <row r="4265" s="2" customFormat="1" spans="1:10">
      <c r="A4265" s="6">
        <f>4263</f>
        <v>4263</v>
      </c>
      <c r="B4265" s="6" t="s">
        <v>11125</v>
      </c>
      <c r="C4265" s="6" t="s">
        <v>12</v>
      </c>
      <c r="D4265" s="6" t="s">
        <v>9344</v>
      </c>
      <c r="E4265" s="6" t="s">
        <v>11022</v>
      </c>
      <c r="F4265" s="6" t="s">
        <v>11126</v>
      </c>
      <c r="G4265" s="6" t="s">
        <v>16</v>
      </c>
      <c r="H4265" s="5">
        <v>3</v>
      </c>
      <c r="I4265" s="6" t="s">
        <v>11127</v>
      </c>
      <c r="J4265" s="5">
        <v>780</v>
      </c>
    </row>
    <row r="4266" s="2" customFormat="1" spans="1:10">
      <c r="A4266" s="6">
        <f>4264</f>
        <v>4264</v>
      </c>
      <c r="B4266" s="6" t="s">
        <v>11128</v>
      </c>
      <c r="C4266" s="6" t="s">
        <v>12</v>
      </c>
      <c r="D4266" s="6" t="s">
        <v>9344</v>
      </c>
      <c r="E4266" s="6" t="s">
        <v>11022</v>
      </c>
      <c r="F4266" s="6" t="s">
        <v>11129</v>
      </c>
      <c r="G4266" s="6" t="s">
        <v>16</v>
      </c>
      <c r="H4266" s="5">
        <v>1</v>
      </c>
      <c r="I4266" s="6" t="s">
        <v>11129</v>
      </c>
      <c r="J4266" s="5">
        <v>238</v>
      </c>
    </row>
    <row r="4267" s="2" customFormat="1" spans="1:10">
      <c r="A4267" s="6">
        <f>4265</f>
        <v>4265</v>
      </c>
      <c r="B4267" s="6" t="s">
        <v>11130</v>
      </c>
      <c r="C4267" s="6" t="s">
        <v>12</v>
      </c>
      <c r="D4267" s="6" t="s">
        <v>9344</v>
      </c>
      <c r="E4267" s="6" t="s">
        <v>11022</v>
      </c>
      <c r="F4267" s="6" t="s">
        <v>11131</v>
      </c>
      <c r="G4267" s="6" t="s">
        <v>16</v>
      </c>
      <c r="H4267" s="5">
        <v>1</v>
      </c>
      <c r="I4267" s="6" t="s">
        <v>11131</v>
      </c>
      <c r="J4267" s="5">
        <v>323</v>
      </c>
    </row>
    <row r="4268" s="2" customFormat="1" spans="1:10">
      <c r="A4268" s="6">
        <f>4266</f>
        <v>4266</v>
      </c>
      <c r="B4268" s="6" t="s">
        <v>11132</v>
      </c>
      <c r="C4268" s="6" t="s">
        <v>12</v>
      </c>
      <c r="D4268" s="6" t="s">
        <v>9344</v>
      </c>
      <c r="E4268" s="6" t="s">
        <v>11022</v>
      </c>
      <c r="F4268" s="6" t="s">
        <v>11133</v>
      </c>
      <c r="G4268" s="6" t="s">
        <v>16</v>
      </c>
      <c r="H4268" s="5">
        <v>1</v>
      </c>
      <c r="I4268" s="6" t="s">
        <v>11133</v>
      </c>
      <c r="J4268" s="5">
        <v>265</v>
      </c>
    </row>
    <row r="4269" s="2" customFormat="1" ht="27" spans="1:10">
      <c r="A4269" s="6">
        <f>4267</f>
        <v>4267</v>
      </c>
      <c r="B4269" s="6" t="s">
        <v>11134</v>
      </c>
      <c r="C4269" s="6" t="s">
        <v>12</v>
      </c>
      <c r="D4269" s="6" t="s">
        <v>9344</v>
      </c>
      <c r="E4269" s="6" t="s">
        <v>11022</v>
      </c>
      <c r="F4269" s="6" t="s">
        <v>11135</v>
      </c>
      <c r="G4269" s="6" t="s">
        <v>16</v>
      </c>
      <c r="H4269" s="5">
        <v>4</v>
      </c>
      <c r="I4269" s="6" t="s">
        <v>11136</v>
      </c>
      <c r="J4269" s="5">
        <v>464</v>
      </c>
    </row>
    <row r="4270" s="2" customFormat="1" spans="1:10">
      <c r="A4270" s="6">
        <f>4268</f>
        <v>4268</v>
      </c>
      <c r="B4270" s="6" t="s">
        <v>11137</v>
      </c>
      <c r="C4270" s="6" t="s">
        <v>12</v>
      </c>
      <c r="D4270" s="6" t="s">
        <v>9344</v>
      </c>
      <c r="E4270" s="6" t="s">
        <v>11022</v>
      </c>
      <c r="F4270" s="6" t="s">
        <v>11138</v>
      </c>
      <c r="G4270" s="6" t="s">
        <v>16</v>
      </c>
      <c r="H4270" s="5">
        <v>2</v>
      </c>
      <c r="I4270" s="6" t="s">
        <v>11139</v>
      </c>
      <c r="J4270" s="5">
        <v>520</v>
      </c>
    </row>
    <row r="4271" s="2" customFormat="1" ht="27" spans="1:10">
      <c r="A4271" s="6">
        <f>4269</f>
        <v>4269</v>
      </c>
      <c r="B4271" s="6" t="s">
        <v>11140</v>
      </c>
      <c r="C4271" s="6" t="s">
        <v>12</v>
      </c>
      <c r="D4271" s="6" t="s">
        <v>9344</v>
      </c>
      <c r="E4271" s="6" t="s">
        <v>11022</v>
      </c>
      <c r="F4271" s="6" t="s">
        <v>11141</v>
      </c>
      <c r="G4271" s="6" t="s">
        <v>16</v>
      </c>
      <c r="H4271" s="5">
        <v>5</v>
      </c>
      <c r="I4271" s="6" t="s">
        <v>11142</v>
      </c>
      <c r="J4271" s="5">
        <v>505</v>
      </c>
    </row>
    <row r="4272" s="2" customFormat="1" spans="1:10">
      <c r="A4272" s="6">
        <f>4270</f>
        <v>4270</v>
      </c>
      <c r="B4272" s="6" t="s">
        <v>11143</v>
      </c>
      <c r="C4272" s="6" t="s">
        <v>12</v>
      </c>
      <c r="D4272" s="6" t="s">
        <v>9344</v>
      </c>
      <c r="E4272" s="6" t="s">
        <v>11022</v>
      </c>
      <c r="F4272" s="6" t="s">
        <v>11144</v>
      </c>
      <c r="G4272" s="6" t="s">
        <v>16</v>
      </c>
      <c r="H4272" s="5">
        <v>1</v>
      </c>
      <c r="I4272" s="6" t="s">
        <v>11144</v>
      </c>
      <c r="J4272" s="5">
        <v>238</v>
      </c>
    </row>
    <row r="4273" s="2" customFormat="1" ht="27" spans="1:10">
      <c r="A4273" s="6">
        <f>4271</f>
        <v>4271</v>
      </c>
      <c r="B4273" s="6" t="s">
        <v>11145</v>
      </c>
      <c r="C4273" s="6" t="s">
        <v>12</v>
      </c>
      <c r="D4273" s="6" t="s">
        <v>9344</v>
      </c>
      <c r="E4273" s="6" t="s">
        <v>11022</v>
      </c>
      <c r="F4273" s="6" t="s">
        <v>11146</v>
      </c>
      <c r="G4273" s="6" t="s">
        <v>16</v>
      </c>
      <c r="H4273" s="5">
        <v>6</v>
      </c>
      <c r="I4273" s="6" t="s">
        <v>11147</v>
      </c>
      <c r="J4273" s="5">
        <v>873</v>
      </c>
    </row>
    <row r="4274" s="2" customFormat="1" spans="1:10">
      <c r="A4274" s="6">
        <f>4272</f>
        <v>4272</v>
      </c>
      <c r="B4274" s="6" t="s">
        <v>11148</v>
      </c>
      <c r="C4274" s="6" t="s">
        <v>12</v>
      </c>
      <c r="D4274" s="6" t="s">
        <v>9344</v>
      </c>
      <c r="E4274" s="6" t="s">
        <v>11022</v>
      </c>
      <c r="F4274" s="6" t="s">
        <v>11149</v>
      </c>
      <c r="G4274" s="6" t="s">
        <v>16</v>
      </c>
      <c r="H4274" s="5">
        <v>1</v>
      </c>
      <c r="I4274" s="6" t="s">
        <v>11149</v>
      </c>
      <c r="J4274" s="5">
        <v>238</v>
      </c>
    </row>
    <row r="4275" s="2" customFormat="1" spans="1:10">
      <c r="A4275" s="6">
        <f>4273</f>
        <v>4273</v>
      </c>
      <c r="B4275" s="6" t="s">
        <v>11150</v>
      </c>
      <c r="C4275" s="6" t="s">
        <v>12</v>
      </c>
      <c r="D4275" s="6" t="s">
        <v>9344</v>
      </c>
      <c r="E4275" s="6" t="s">
        <v>11022</v>
      </c>
      <c r="F4275" s="6" t="s">
        <v>11151</v>
      </c>
      <c r="G4275" s="6" t="s">
        <v>16</v>
      </c>
      <c r="H4275" s="5">
        <v>1</v>
      </c>
      <c r="I4275" s="6" t="s">
        <v>11151</v>
      </c>
      <c r="J4275" s="5">
        <v>268</v>
      </c>
    </row>
    <row r="4276" s="2" customFormat="1" spans="1:10">
      <c r="A4276" s="6">
        <f>4274</f>
        <v>4274</v>
      </c>
      <c r="B4276" s="6" t="s">
        <v>11152</v>
      </c>
      <c r="C4276" s="6" t="s">
        <v>12</v>
      </c>
      <c r="D4276" s="6" t="s">
        <v>9344</v>
      </c>
      <c r="E4276" s="6" t="s">
        <v>11022</v>
      </c>
      <c r="F4276" s="6" t="s">
        <v>11153</v>
      </c>
      <c r="G4276" s="6" t="s">
        <v>16</v>
      </c>
      <c r="H4276" s="5">
        <v>1</v>
      </c>
      <c r="I4276" s="6" t="s">
        <v>11153</v>
      </c>
      <c r="J4276" s="5">
        <v>238</v>
      </c>
    </row>
    <row r="4277" s="2" customFormat="1" spans="1:10">
      <c r="A4277" s="6">
        <f>4275</f>
        <v>4275</v>
      </c>
      <c r="B4277" s="6" t="s">
        <v>11154</v>
      </c>
      <c r="C4277" s="6" t="s">
        <v>12</v>
      </c>
      <c r="D4277" s="6" t="s">
        <v>9344</v>
      </c>
      <c r="E4277" s="6" t="s">
        <v>11022</v>
      </c>
      <c r="F4277" s="6" t="s">
        <v>11155</v>
      </c>
      <c r="G4277" s="6" t="s">
        <v>16</v>
      </c>
      <c r="H4277" s="5">
        <v>1</v>
      </c>
      <c r="I4277" s="6" t="s">
        <v>11155</v>
      </c>
      <c r="J4277" s="5">
        <v>238</v>
      </c>
    </row>
    <row r="4278" s="2" customFormat="1" spans="1:10">
      <c r="A4278" s="6">
        <f>4276</f>
        <v>4276</v>
      </c>
      <c r="B4278" s="6" t="s">
        <v>11156</v>
      </c>
      <c r="C4278" s="6" t="s">
        <v>12</v>
      </c>
      <c r="D4278" s="6" t="s">
        <v>9344</v>
      </c>
      <c r="E4278" s="6" t="s">
        <v>11022</v>
      </c>
      <c r="F4278" s="6" t="s">
        <v>11157</v>
      </c>
      <c r="G4278" s="6" t="s">
        <v>16</v>
      </c>
      <c r="H4278" s="5">
        <v>1</v>
      </c>
      <c r="I4278" s="6" t="s">
        <v>11157</v>
      </c>
      <c r="J4278" s="5">
        <v>265</v>
      </c>
    </row>
    <row r="4279" s="2" customFormat="1" spans="1:10">
      <c r="A4279" s="6">
        <f>4277</f>
        <v>4277</v>
      </c>
      <c r="B4279" s="6" t="s">
        <v>11158</v>
      </c>
      <c r="C4279" s="6" t="s">
        <v>12</v>
      </c>
      <c r="D4279" s="6" t="s">
        <v>9344</v>
      </c>
      <c r="E4279" s="6" t="s">
        <v>11022</v>
      </c>
      <c r="F4279" s="6" t="s">
        <v>11159</v>
      </c>
      <c r="G4279" s="6" t="s">
        <v>16</v>
      </c>
      <c r="H4279" s="5">
        <v>3</v>
      </c>
      <c r="I4279" s="6" t="s">
        <v>11160</v>
      </c>
      <c r="J4279" s="5">
        <v>1120</v>
      </c>
    </row>
    <row r="4280" s="2" customFormat="1" spans="1:10">
      <c r="A4280" s="6">
        <f>4278</f>
        <v>4278</v>
      </c>
      <c r="B4280" s="6" t="s">
        <v>11161</v>
      </c>
      <c r="C4280" s="6" t="s">
        <v>12</v>
      </c>
      <c r="D4280" s="6" t="s">
        <v>9344</v>
      </c>
      <c r="E4280" s="6" t="s">
        <v>11022</v>
      </c>
      <c r="F4280" s="6" t="s">
        <v>11162</v>
      </c>
      <c r="G4280" s="6" t="s">
        <v>16</v>
      </c>
      <c r="H4280" s="5">
        <v>2</v>
      </c>
      <c r="I4280" s="6" t="s">
        <v>11163</v>
      </c>
      <c r="J4280" s="5">
        <v>430</v>
      </c>
    </row>
    <row r="4281" s="2" customFormat="1" spans="1:10">
      <c r="A4281" s="6">
        <f>4279</f>
        <v>4279</v>
      </c>
      <c r="B4281" s="6" t="s">
        <v>11164</v>
      </c>
      <c r="C4281" s="6" t="s">
        <v>12</v>
      </c>
      <c r="D4281" s="6" t="s">
        <v>9344</v>
      </c>
      <c r="E4281" s="6" t="s">
        <v>11022</v>
      </c>
      <c r="F4281" s="6" t="s">
        <v>11165</v>
      </c>
      <c r="G4281" s="6" t="s">
        <v>16</v>
      </c>
      <c r="H4281" s="5">
        <v>1</v>
      </c>
      <c r="I4281" s="6" t="s">
        <v>11165</v>
      </c>
      <c r="J4281" s="5">
        <v>238</v>
      </c>
    </row>
    <row r="4282" s="2" customFormat="1" spans="1:10">
      <c r="A4282" s="6">
        <f>4280</f>
        <v>4280</v>
      </c>
      <c r="B4282" s="6" t="s">
        <v>11166</v>
      </c>
      <c r="C4282" s="6" t="s">
        <v>12</v>
      </c>
      <c r="D4282" s="6" t="s">
        <v>9344</v>
      </c>
      <c r="E4282" s="6" t="s">
        <v>11022</v>
      </c>
      <c r="F4282" s="6" t="s">
        <v>11167</v>
      </c>
      <c r="G4282" s="6" t="s">
        <v>16</v>
      </c>
      <c r="H4282" s="5">
        <v>1</v>
      </c>
      <c r="I4282" s="6" t="s">
        <v>11167</v>
      </c>
      <c r="J4282" s="5">
        <v>240</v>
      </c>
    </row>
    <row r="4283" s="2" customFormat="1" ht="27" spans="1:10">
      <c r="A4283" s="6">
        <f>4281</f>
        <v>4281</v>
      </c>
      <c r="B4283" s="6" t="s">
        <v>11168</v>
      </c>
      <c r="C4283" s="6" t="s">
        <v>12</v>
      </c>
      <c r="D4283" s="6" t="s">
        <v>9344</v>
      </c>
      <c r="E4283" s="6" t="s">
        <v>11022</v>
      </c>
      <c r="F4283" s="6" t="s">
        <v>11169</v>
      </c>
      <c r="G4283" s="6" t="s">
        <v>16</v>
      </c>
      <c r="H4283" s="5">
        <v>6</v>
      </c>
      <c r="I4283" s="6" t="s">
        <v>11170</v>
      </c>
      <c r="J4283" s="5">
        <v>1360</v>
      </c>
    </row>
    <row r="4284" s="2" customFormat="1" spans="1:10">
      <c r="A4284" s="6">
        <f>4282</f>
        <v>4282</v>
      </c>
      <c r="B4284" s="6" t="s">
        <v>11171</v>
      </c>
      <c r="C4284" s="6" t="s">
        <v>12</v>
      </c>
      <c r="D4284" s="6" t="s">
        <v>9344</v>
      </c>
      <c r="E4284" s="6" t="s">
        <v>11172</v>
      </c>
      <c r="F4284" s="6" t="s">
        <v>11173</v>
      </c>
      <c r="G4284" s="6" t="s">
        <v>16</v>
      </c>
      <c r="H4284" s="5">
        <v>1</v>
      </c>
      <c r="I4284" s="6" t="s">
        <v>11173</v>
      </c>
      <c r="J4284" s="5">
        <v>300</v>
      </c>
    </row>
    <row r="4285" s="2" customFormat="1" spans="1:10">
      <c r="A4285" s="6">
        <f>4283</f>
        <v>4283</v>
      </c>
      <c r="B4285" s="6" t="s">
        <v>11174</v>
      </c>
      <c r="C4285" s="6" t="s">
        <v>12</v>
      </c>
      <c r="D4285" s="6" t="s">
        <v>9344</v>
      </c>
      <c r="E4285" s="6" t="s">
        <v>11172</v>
      </c>
      <c r="F4285" s="6" t="s">
        <v>11175</v>
      </c>
      <c r="G4285" s="6" t="s">
        <v>16</v>
      </c>
      <c r="H4285" s="5">
        <v>1</v>
      </c>
      <c r="I4285" s="6" t="s">
        <v>11175</v>
      </c>
      <c r="J4285" s="5">
        <v>620</v>
      </c>
    </row>
    <row r="4286" s="2" customFormat="1" spans="1:10">
      <c r="A4286" s="6">
        <f>4284</f>
        <v>4284</v>
      </c>
      <c r="B4286" s="6" t="s">
        <v>11176</v>
      </c>
      <c r="C4286" s="6" t="s">
        <v>12</v>
      </c>
      <c r="D4286" s="6" t="s">
        <v>9344</v>
      </c>
      <c r="E4286" s="6" t="s">
        <v>11172</v>
      </c>
      <c r="F4286" s="6" t="s">
        <v>11177</v>
      </c>
      <c r="G4286" s="6" t="s">
        <v>16</v>
      </c>
      <c r="H4286" s="5">
        <v>2</v>
      </c>
      <c r="I4286" s="6" t="s">
        <v>11178</v>
      </c>
      <c r="J4286" s="5">
        <v>570</v>
      </c>
    </row>
    <row r="4287" s="2" customFormat="1" spans="1:10">
      <c r="A4287" s="6">
        <f>4285</f>
        <v>4285</v>
      </c>
      <c r="B4287" s="6" t="s">
        <v>11179</v>
      </c>
      <c r="C4287" s="6" t="s">
        <v>12</v>
      </c>
      <c r="D4287" s="6" t="s">
        <v>9344</v>
      </c>
      <c r="E4287" s="6" t="s">
        <v>11172</v>
      </c>
      <c r="F4287" s="6" t="s">
        <v>11180</v>
      </c>
      <c r="G4287" s="6" t="s">
        <v>16</v>
      </c>
      <c r="H4287" s="5">
        <v>3</v>
      </c>
      <c r="I4287" s="6" t="s">
        <v>11181</v>
      </c>
      <c r="J4287" s="5">
        <v>830</v>
      </c>
    </row>
    <row r="4288" s="2" customFormat="1" spans="1:10">
      <c r="A4288" s="6">
        <f>4286</f>
        <v>4286</v>
      </c>
      <c r="B4288" s="6" t="s">
        <v>11182</v>
      </c>
      <c r="C4288" s="6" t="s">
        <v>12</v>
      </c>
      <c r="D4288" s="6" t="s">
        <v>9344</v>
      </c>
      <c r="E4288" s="6" t="s">
        <v>11172</v>
      </c>
      <c r="F4288" s="6" t="s">
        <v>9613</v>
      </c>
      <c r="G4288" s="6" t="s">
        <v>16</v>
      </c>
      <c r="H4288" s="5">
        <v>3</v>
      </c>
      <c r="I4288" s="6" t="s">
        <v>11183</v>
      </c>
      <c r="J4288" s="5">
        <v>1080</v>
      </c>
    </row>
    <row r="4289" s="2" customFormat="1" spans="1:10">
      <c r="A4289" s="6">
        <f>4287</f>
        <v>4287</v>
      </c>
      <c r="B4289" s="6" t="s">
        <v>11184</v>
      </c>
      <c r="C4289" s="6" t="s">
        <v>12</v>
      </c>
      <c r="D4289" s="6" t="s">
        <v>9344</v>
      </c>
      <c r="E4289" s="6" t="s">
        <v>11172</v>
      </c>
      <c r="F4289" s="6" t="s">
        <v>11185</v>
      </c>
      <c r="G4289" s="6" t="s">
        <v>16</v>
      </c>
      <c r="H4289" s="5">
        <v>1</v>
      </c>
      <c r="I4289" s="6" t="s">
        <v>11185</v>
      </c>
      <c r="J4289" s="5">
        <v>380</v>
      </c>
    </row>
    <row r="4290" s="2" customFormat="1" spans="1:10">
      <c r="A4290" s="6">
        <f>4288</f>
        <v>4288</v>
      </c>
      <c r="B4290" s="6" t="s">
        <v>11186</v>
      </c>
      <c r="C4290" s="6" t="s">
        <v>12</v>
      </c>
      <c r="D4290" s="6" t="s">
        <v>9344</v>
      </c>
      <c r="E4290" s="6" t="s">
        <v>11172</v>
      </c>
      <c r="F4290" s="6" t="s">
        <v>11187</v>
      </c>
      <c r="G4290" s="6" t="s">
        <v>16</v>
      </c>
      <c r="H4290" s="5">
        <v>1</v>
      </c>
      <c r="I4290" s="6" t="s">
        <v>11187</v>
      </c>
      <c r="J4290" s="5">
        <v>260</v>
      </c>
    </row>
    <row r="4291" s="2" customFormat="1" ht="27" spans="1:10">
      <c r="A4291" s="6">
        <f>4289</f>
        <v>4289</v>
      </c>
      <c r="B4291" s="6" t="s">
        <v>11188</v>
      </c>
      <c r="C4291" s="6" t="s">
        <v>12</v>
      </c>
      <c r="D4291" s="6" t="s">
        <v>9344</v>
      </c>
      <c r="E4291" s="6" t="s">
        <v>11172</v>
      </c>
      <c r="F4291" s="6" t="s">
        <v>11189</v>
      </c>
      <c r="G4291" s="6" t="s">
        <v>16</v>
      </c>
      <c r="H4291" s="5">
        <v>5</v>
      </c>
      <c r="I4291" s="6" t="s">
        <v>11190</v>
      </c>
      <c r="J4291" s="5">
        <v>1100</v>
      </c>
    </row>
    <row r="4292" s="2" customFormat="1" spans="1:10">
      <c r="A4292" s="6">
        <f>4290</f>
        <v>4290</v>
      </c>
      <c r="B4292" s="6" t="s">
        <v>11191</v>
      </c>
      <c r="C4292" s="6" t="s">
        <v>12</v>
      </c>
      <c r="D4292" s="6" t="s">
        <v>9344</v>
      </c>
      <c r="E4292" s="6" t="s">
        <v>11172</v>
      </c>
      <c r="F4292" s="6" t="s">
        <v>11192</v>
      </c>
      <c r="G4292" s="6" t="s">
        <v>16</v>
      </c>
      <c r="H4292" s="5">
        <v>1</v>
      </c>
      <c r="I4292" s="6" t="s">
        <v>11192</v>
      </c>
      <c r="J4292" s="5">
        <v>360</v>
      </c>
    </row>
    <row r="4293" s="2" customFormat="1" spans="1:10">
      <c r="A4293" s="6">
        <f>4291</f>
        <v>4291</v>
      </c>
      <c r="B4293" s="6" t="s">
        <v>11193</v>
      </c>
      <c r="C4293" s="6" t="s">
        <v>12</v>
      </c>
      <c r="D4293" s="6" t="s">
        <v>9344</v>
      </c>
      <c r="E4293" s="6" t="s">
        <v>11172</v>
      </c>
      <c r="F4293" s="6" t="s">
        <v>11194</v>
      </c>
      <c r="G4293" s="6" t="s">
        <v>16</v>
      </c>
      <c r="H4293" s="5">
        <v>2</v>
      </c>
      <c r="I4293" s="6" t="s">
        <v>11195</v>
      </c>
      <c r="J4293" s="5">
        <v>1080</v>
      </c>
    </row>
    <row r="4294" s="2" customFormat="1" spans="1:10">
      <c r="A4294" s="6">
        <f>4292</f>
        <v>4292</v>
      </c>
      <c r="B4294" s="6" t="s">
        <v>11196</v>
      </c>
      <c r="C4294" s="6" t="s">
        <v>12</v>
      </c>
      <c r="D4294" s="6" t="s">
        <v>9344</v>
      </c>
      <c r="E4294" s="6" t="s">
        <v>11172</v>
      </c>
      <c r="F4294" s="6" t="s">
        <v>11197</v>
      </c>
      <c r="G4294" s="6" t="s">
        <v>16</v>
      </c>
      <c r="H4294" s="5">
        <v>4</v>
      </c>
      <c r="I4294" s="6" t="s">
        <v>11198</v>
      </c>
      <c r="J4294" s="5">
        <v>840</v>
      </c>
    </row>
    <row r="4295" s="2" customFormat="1" spans="1:10">
      <c r="A4295" s="6">
        <f>4293</f>
        <v>4293</v>
      </c>
      <c r="B4295" s="6" t="s">
        <v>11199</v>
      </c>
      <c r="C4295" s="6" t="s">
        <v>12</v>
      </c>
      <c r="D4295" s="6" t="s">
        <v>9344</v>
      </c>
      <c r="E4295" s="6" t="s">
        <v>11172</v>
      </c>
      <c r="F4295" s="6" t="s">
        <v>11200</v>
      </c>
      <c r="G4295" s="6" t="s">
        <v>16</v>
      </c>
      <c r="H4295" s="5">
        <v>2</v>
      </c>
      <c r="I4295" s="6" t="s">
        <v>11201</v>
      </c>
      <c r="J4295" s="5">
        <v>720</v>
      </c>
    </row>
    <row r="4296" s="2" customFormat="1" ht="27" spans="1:10">
      <c r="A4296" s="6">
        <f>4294</f>
        <v>4294</v>
      </c>
      <c r="B4296" s="6" t="s">
        <v>11202</v>
      </c>
      <c r="C4296" s="6" t="s">
        <v>12</v>
      </c>
      <c r="D4296" s="6" t="s">
        <v>9344</v>
      </c>
      <c r="E4296" s="6" t="s">
        <v>11172</v>
      </c>
      <c r="F4296" s="6" t="s">
        <v>11203</v>
      </c>
      <c r="G4296" s="6" t="s">
        <v>16</v>
      </c>
      <c r="H4296" s="5">
        <v>7</v>
      </c>
      <c r="I4296" s="6" t="s">
        <v>11204</v>
      </c>
      <c r="J4296" s="5">
        <v>3080</v>
      </c>
    </row>
    <row r="4297" s="2" customFormat="1" spans="1:10">
      <c r="A4297" s="6">
        <f>4295</f>
        <v>4295</v>
      </c>
      <c r="B4297" s="6" t="s">
        <v>11205</v>
      </c>
      <c r="C4297" s="6" t="s">
        <v>12</v>
      </c>
      <c r="D4297" s="6" t="s">
        <v>9344</v>
      </c>
      <c r="E4297" s="6" t="s">
        <v>11172</v>
      </c>
      <c r="F4297" s="6" t="s">
        <v>7200</v>
      </c>
      <c r="G4297" s="6" t="s">
        <v>16</v>
      </c>
      <c r="H4297" s="5">
        <v>2</v>
      </c>
      <c r="I4297" s="6" t="s">
        <v>11206</v>
      </c>
      <c r="J4297" s="5">
        <v>680</v>
      </c>
    </row>
    <row r="4298" s="2" customFormat="1" spans="1:10">
      <c r="A4298" s="6">
        <f>4296</f>
        <v>4296</v>
      </c>
      <c r="B4298" s="6" t="s">
        <v>11207</v>
      </c>
      <c r="C4298" s="6" t="s">
        <v>12</v>
      </c>
      <c r="D4298" s="6" t="s">
        <v>9344</v>
      </c>
      <c r="E4298" s="6" t="s">
        <v>11172</v>
      </c>
      <c r="F4298" s="6" t="s">
        <v>11208</v>
      </c>
      <c r="G4298" s="6" t="s">
        <v>16</v>
      </c>
      <c r="H4298" s="5">
        <v>3</v>
      </c>
      <c r="I4298" s="6" t="s">
        <v>11209</v>
      </c>
      <c r="J4298" s="5">
        <v>1320</v>
      </c>
    </row>
    <row r="4299" s="2" customFormat="1" spans="1:10">
      <c r="A4299" s="6">
        <f>4297</f>
        <v>4297</v>
      </c>
      <c r="B4299" s="6" t="s">
        <v>11210</v>
      </c>
      <c r="C4299" s="6" t="s">
        <v>12</v>
      </c>
      <c r="D4299" s="6" t="s">
        <v>9344</v>
      </c>
      <c r="E4299" s="6" t="s">
        <v>11172</v>
      </c>
      <c r="F4299" s="6" t="s">
        <v>11211</v>
      </c>
      <c r="G4299" s="6" t="s">
        <v>16</v>
      </c>
      <c r="H4299" s="5">
        <v>1</v>
      </c>
      <c r="I4299" s="6" t="s">
        <v>11211</v>
      </c>
      <c r="J4299" s="5">
        <v>573</v>
      </c>
    </row>
    <row r="4300" s="2" customFormat="1" spans="1:10">
      <c r="A4300" s="6">
        <f>4298</f>
        <v>4298</v>
      </c>
      <c r="B4300" s="6" t="s">
        <v>11212</v>
      </c>
      <c r="C4300" s="6" t="s">
        <v>12</v>
      </c>
      <c r="D4300" s="6" t="s">
        <v>9344</v>
      </c>
      <c r="E4300" s="6" t="s">
        <v>11172</v>
      </c>
      <c r="F4300" s="6" t="s">
        <v>11213</v>
      </c>
      <c r="G4300" s="6" t="s">
        <v>16</v>
      </c>
      <c r="H4300" s="5">
        <v>1</v>
      </c>
      <c r="I4300" s="6" t="s">
        <v>11213</v>
      </c>
      <c r="J4300" s="5">
        <v>540</v>
      </c>
    </row>
    <row r="4301" s="2" customFormat="1" spans="1:10">
      <c r="A4301" s="6">
        <f>4299</f>
        <v>4299</v>
      </c>
      <c r="B4301" s="6" t="s">
        <v>11214</v>
      </c>
      <c r="C4301" s="6" t="s">
        <v>12</v>
      </c>
      <c r="D4301" s="6" t="s">
        <v>9344</v>
      </c>
      <c r="E4301" s="6" t="s">
        <v>11172</v>
      </c>
      <c r="F4301" s="6" t="s">
        <v>11215</v>
      </c>
      <c r="G4301" s="6" t="s">
        <v>16</v>
      </c>
      <c r="H4301" s="5">
        <v>1</v>
      </c>
      <c r="I4301" s="6" t="s">
        <v>11215</v>
      </c>
      <c r="J4301" s="5">
        <v>265</v>
      </c>
    </row>
    <row r="4302" s="2" customFormat="1" spans="1:10">
      <c r="A4302" s="6">
        <f>4300</f>
        <v>4300</v>
      </c>
      <c r="B4302" s="6" t="s">
        <v>11216</v>
      </c>
      <c r="C4302" s="6" t="s">
        <v>12</v>
      </c>
      <c r="D4302" s="6" t="s">
        <v>9344</v>
      </c>
      <c r="E4302" s="6" t="s">
        <v>11172</v>
      </c>
      <c r="F4302" s="6" t="s">
        <v>11217</v>
      </c>
      <c r="G4302" s="6" t="s">
        <v>16</v>
      </c>
      <c r="H4302" s="5">
        <v>1</v>
      </c>
      <c r="I4302" s="6" t="s">
        <v>11217</v>
      </c>
      <c r="J4302" s="5">
        <v>360</v>
      </c>
    </row>
    <row r="4303" s="2" customFormat="1" spans="1:10">
      <c r="A4303" s="6">
        <f>4301</f>
        <v>4301</v>
      </c>
      <c r="B4303" s="6" t="s">
        <v>11218</v>
      </c>
      <c r="C4303" s="6" t="s">
        <v>12</v>
      </c>
      <c r="D4303" s="6" t="s">
        <v>9344</v>
      </c>
      <c r="E4303" s="6" t="s">
        <v>11172</v>
      </c>
      <c r="F4303" s="6" t="s">
        <v>11219</v>
      </c>
      <c r="G4303" s="6" t="s">
        <v>16</v>
      </c>
      <c r="H4303" s="5">
        <v>2</v>
      </c>
      <c r="I4303" s="6" t="s">
        <v>11220</v>
      </c>
      <c r="J4303" s="5">
        <v>506</v>
      </c>
    </row>
    <row r="4304" s="2" customFormat="1" spans="1:10">
      <c r="A4304" s="6">
        <f>4302</f>
        <v>4302</v>
      </c>
      <c r="B4304" s="6" t="s">
        <v>11221</v>
      </c>
      <c r="C4304" s="6" t="s">
        <v>12</v>
      </c>
      <c r="D4304" s="6" t="s">
        <v>9344</v>
      </c>
      <c r="E4304" s="6" t="s">
        <v>11172</v>
      </c>
      <c r="F4304" s="6" t="s">
        <v>11222</v>
      </c>
      <c r="G4304" s="6" t="s">
        <v>16</v>
      </c>
      <c r="H4304" s="5">
        <v>3</v>
      </c>
      <c r="I4304" s="6" t="s">
        <v>11223</v>
      </c>
      <c r="J4304" s="5">
        <v>1030</v>
      </c>
    </row>
    <row r="4305" s="2" customFormat="1" ht="27" spans="1:10">
      <c r="A4305" s="6">
        <f>4303</f>
        <v>4303</v>
      </c>
      <c r="B4305" s="6" t="s">
        <v>11224</v>
      </c>
      <c r="C4305" s="6" t="s">
        <v>12</v>
      </c>
      <c r="D4305" s="6" t="s">
        <v>9344</v>
      </c>
      <c r="E4305" s="6" t="s">
        <v>11172</v>
      </c>
      <c r="F4305" s="6" t="s">
        <v>11225</v>
      </c>
      <c r="G4305" s="6" t="s">
        <v>16</v>
      </c>
      <c r="H4305" s="5">
        <v>4</v>
      </c>
      <c r="I4305" s="6" t="s">
        <v>11226</v>
      </c>
      <c r="J4305" s="5">
        <v>1260</v>
      </c>
    </row>
    <row r="4306" s="2" customFormat="1" spans="1:10">
      <c r="A4306" s="6">
        <f>4304</f>
        <v>4304</v>
      </c>
      <c r="B4306" s="6" t="s">
        <v>11227</v>
      </c>
      <c r="C4306" s="6" t="s">
        <v>12</v>
      </c>
      <c r="D4306" s="6" t="s">
        <v>9344</v>
      </c>
      <c r="E4306" s="6" t="s">
        <v>11172</v>
      </c>
      <c r="F4306" s="6" t="s">
        <v>11228</v>
      </c>
      <c r="G4306" s="6" t="s">
        <v>16</v>
      </c>
      <c r="H4306" s="5">
        <v>3</v>
      </c>
      <c r="I4306" s="6" t="s">
        <v>11229</v>
      </c>
      <c r="J4306" s="5">
        <v>758</v>
      </c>
    </row>
    <row r="4307" s="2" customFormat="1" spans="1:10">
      <c r="A4307" s="6">
        <f>4305</f>
        <v>4305</v>
      </c>
      <c r="B4307" s="6" t="s">
        <v>11230</v>
      </c>
      <c r="C4307" s="6" t="s">
        <v>12</v>
      </c>
      <c r="D4307" s="6" t="s">
        <v>9344</v>
      </c>
      <c r="E4307" s="6" t="s">
        <v>11172</v>
      </c>
      <c r="F4307" s="6" t="s">
        <v>11231</v>
      </c>
      <c r="G4307" s="6" t="s">
        <v>16</v>
      </c>
      <c r="H4307" s="5">
        <v>1</v>
      </c>
      <c r="I4307" s="6" t="s">
        <v>11231</v>
      </c>
      <c r="J4307" s="5">
        <v>238</v>
      </c>
    </row>
    <row r="4308" s="2" customFormat="1" spans="1:10">
      <c r="A4308" s="6">
        <f>4306</f>
        <v>4306</v>
      </c>
      <c r="B4308" s="6" t="s">
        <v>11232</v>
      </c>
      <c r="C4308" s="6" t="s">
        <v>12</v>
      </c>
      <c r="D4308" s="6" t="s">
        <v>9344</v>
      </c>
      <c r="E4308" s="6" t="s">
        <v>11172</v>
      </c>
      <c r="F4308" s="6" t="s">
        <v>11233</v>
      </c>
      <c r="G4308" s="6" t="s">
        <v>16</v>
      </c>
      <c r="H4308" s="5">
        <v>1</v>
      </c>
      <c r="I4308" s="6" t="s">
        <v>11233</v>
      </c>
      <c r="J4308" s="5">
        <v>540</v>
      </c>
    </row>
    <row r="4309" s="2" customFormat="1" ht="27" spans="1:10">
      <c r="A4309" s="6">
        <f>4307</f>
        <v>4307</v>
      </c>
      <c r="B4309" s="6" t="s">
        <v>11234</v>
      </c>
      <c r="C4309" s="6" t="s">
        <v>12</v>
      </c>
      <c r="D4309" s="6" t="s">
        <v>9344</v>
      </c>
      <c r="E4309" s="6" t="s">
        <v>11172</v>
      </c>
      <c r="F4309" s="6" t="s">
        <v>9525</v>
      </c>
      <c r="G4309" s="6" t="s">
        <v>16</v>
      </c>
      <c r="H4309" s="5">
        <v>4</v>
      </c>
      <c r="I4309" s="6" t="s">
        <v>11235</v>
      </c>
      <c r="J4309" s="5">
        <v>1960</v>
      </c>
    </row>
    <row r="4310" s="2" customFormat="1" spans="1:10">
      <c r="A4310" s="6">
        <f>4308</f>
        <v>4308</v>
      </c>
      <c r="B4310" s="6" t="s">
        <v>11236</v>
      </c>
      <c r="C4310" s="6" t="s">
        <v>12</v>
      </c>
      <c r="D4310" s="6" t="s">
        <v>9344</v>
      </c>
      <c r="E4310" s="6" t="s">
        <v>11172</v>
      </c>
      <c r="F4310" s="6" t="s">
        <v>11237</v>
      </c>
      <c r="G4310" s="6" t="s">
        <v>16</v>
      </c>
      <c r="H4310" s="5">
        <v>1</v>
      </c>
      <c r="I4310" s="6" t="s">
        <v>11237</v>
      </c>
      <c r="J4310" s="5">
        <v>295</v>
      </c>
    </row>
    <row r="4311" s="2" customFormat="1" spans="1:10">
      <c r="A4311" s="6">
        <f>4309</f>
        <v>4309</v>
      </c>
      <c r="B4311" s="6" t="s">
        <v>11238</v>
      </c>
      <c r="C4311" s="6" t="s">
        <v>12</v>
      </c>
      <c r="D4311" s="6" t="s">
        <v>9344</v>
      </c>
      <c r="E4311" s="6" t="s">
        <v>11172</v>
      </c>
      <c r="F4311" s="6" t="s">
        <v>11239</v>
      </c>
      <c r="G4311" s="6" t="s">
        <v>16</v>
      </c>
      <c r="H4311" s="5">
        <v>1</v>
      </c>
      <c r="I4311" s="6" t="s">
        <v>11239</v>
      </c>
      <c r="J4311" s="5">
        <v>368</v>
      </c>
    </row>
    <row r="4312" s="2" customFormat="1" spans="1:10">
      <c r="A4312" s="6">
        <f>4310</f>
        <v>4310</v>
      </c>
      <c r="B4312" s="6" t="s">
        <v>11240</v>
      </c>
      <c r="C4312" s="6" t="s">
        <v>12</v>
      </c>
      <c r="D4312" s="6" t="s">
        <v>9344</v>
      </c>
      <c r="E4312" s="6" t="s">
        <v>11172</v>
      </c>
      <c r="F4312" s="6" t="s">
        <v>11241</v>
      </c>
      <c r="G4312" s="6" t="s">
        <v>16</v>
      </c>
      <c r="H4312" s="5">
        <v>1</v>
      </c>
      <c r="I4312" s="6" t="s">
        <v>11241</v>
      </c>
      <c r="J4312" s="5">
        <v>265</v>
      </c>
    </row>
    <row r="4313" s="2" customFormat="1" spans="1:10">
      <c r="A4313" s="6">
        <f>4311</f>
        <v>4311</v>
      </c>
      <c r="B4313" s="6" t="s">
        <v>11242</v>
      </c>
      <c r="C4313" s="6" t="s">
        <v>12</v>
      </c>
      <c r="D4313" s="6" t="s">
        <v>9344</v>
      </c>
      <c r="E4313" s="6" t="s">
        <v>11172</v>
      </c>
      <c r="F4313" s="6" t="s">
        <v>11243</v>
      </c>
      <c r="G4313" s="6" t="s">
        <v>16</v>
      </c>
      <c r="H4313" s="5">
        <v>1</v>
      </c>
      <c r="I4313" s="6" t="s">
        <v>11243</v>
      </c>
      <c r="J4313" s="5">
        <v>300</v>
      </c>
    </row>
    <row r="4314" s="2" customFormat="1" spans="1:10">
      <c r="A4314" s="6">
        <f>4312</f>
        <v>4312</v>
      </c>
      <c r="B4314" s="6" t="s">
        <v>11244</v>
      </c>
      <c r="C4314" s="6" t="s">
        <v>12</v>
      </c>
      <c r="D4314" s="6" t="s">
        <v>9344</v>
      </c>
      <c r="E4314" s="6" t="s">
        <v>11172</v>
      </c>
      <c r="F4314" s="6" t="s">
        <v>11245</v>
      </c>
      <c r="G4314" s="6" t="s">
        <v>16</v>
      </c>
      <c r="H4314" s="5">
        <v>1</v>
      </c>
      <c r="I4314" s="6" t="s">
        <v>11245</v>
      </c>
      <c r="J4314" s="5">
        <v>295</v>
      </c>
    </row>
    <row r="4315" s="2" customFormat="1" spans="1:10">
      <c r="A4315" s="6">
        <f>4313</f>
        <v>4313</v>
      </c>
      <c r="B4315" s="6" t="s">
        <v>11246</v>
      </c>
      <c r="C4315" s="6" t="s">
        <v>12</v>
      </c>
      <c r="D4315" s="6" t="s">
        <v>9344</v>
      </c>
      <c r="E4315" s="6" t="s">
        <v>11172</v>
      </c>
      <c r="F4315" s="6" t="s">
        <v>11247</v>
      </c>
      <c r="G4315" s="6" t="s">
        <v>16</v>
      </c>
      <c r="H4315" s="5">
        <v>1</v>
      </c>
      <c r="I4315" s="6" t="s">
        <v>11247</v>
      </c>
      <c r="J4315" s="5">
        <v>420</v>
      </c>
    </row>
    <row r="4316" s="2" customFormat="1" spans="1:10">
      <c r="A4316" s="6">
        <f>4314</f>
        <v>4314</v>
      </c>
      <c r="B4316" s="6" t="s">
        <v>11248</v>
      </c>
      <c r="C4316" s="6" t="s">
        <v>12</v>
      </c>
      <c r="D4316" s="6" t="s">
        <v>9344</v>
      </c>
      <c r="E4316" s="6" t="s">
        <v>11172</v>
      </c>
      <c r="F4316" s="6" t="s">
        <v>11249</v>
      </c>
      <c r="G4316" s="6" t="s">
        <v>16</v>
      </c>
      <c r="H4316" s="5">
        <v>1</v>
      </c>
      <c r="I4316" s="6" t="s">
        <v>11249</v>
      </c>
      <c r="J4316" s="5">
        <v>280</v>
      </c>
    </row>
    <row r="4317" s="2" customFormat="1" ht="27" spans="1:10">
      <c r="A4317" s="6">
        <f>4315</f>
        <v>4315</v>
      </c>
      <c r="B4317" s="6" t="s">
        <v>11250</v>
      </c>
      <c r="C4317" s="6" t="s">
        <v>12</v>
      </c>
      <c r="D4317" s="6" t="s">
        <v>9344</v>
      </c>
      <c r="E4317" s="6" t="s">
        <v>11172</v>
      </c>
      <c r="F4317" s="6" t="s">
        <v>11251</v>
      </c>
      <c r="G4317" s="6" t="s">
        <v>16</v>
      </c>
      <c r="H4317" s="5">
        <v>5</v>
      </c>
      <c r="I4317" s="6" t="s">
        <v>11252</v>
      </c>
      <c r="J4317" s="5">
        <v>1000</v>
      </c>
    </row>
    <row r="4318" s="2" customFormat="1" spans="1:10">
      <c r="A4318" s="6">
        <f>4316</f>
        <v>4316</v>
      </c>
      <c r="B4318" s="6" t="s">
        <v>11253</v>
      </c>
      <c r="C4318" s="6" t="s">
        <v>12</v>
      </c>
      <c r="D4318" s="6" t="s">
        <v>9344</v>
      </c>
      <c r="E4318" s="6" t="s">
        <v>11172</v>
      </c>
      <c r="F4318" s="6" t="s">
        <v>11254</v>
      </c>
      <c r="G4318" s="6" t="s">
        <v>16</v>
      </c>
      <c r="H4318" s="5">
        <v>1</v>
      </c>
      <c r="I4318" s="6" t="s">
        <v>11254</v>
      </c>
      <c r="J4318" s="5">
        <v>265</v>
      </c>
    </row>
    <row r="4319" s="2" customFormat="1" ht="27" spans="1:10">
      <c r="A4319" s="6">
        <f>4317</f>
        <v>4317</v>
      </c>
      <c r="B4319" s="6" t="s">
        <v>11255</v>
      </c>
      <c r="C4319" s="6" t="s">
        <v>12</v>
      </c>
      <c r="D4319" s="6" t="s">
        <v>9344</v>
      </c>
      <c r="E4319" s="6" t="s">
        <v>11172</v>
      </c>
      <c r="F4319" s="6" t="s">
        <v>11256</v>
      </c>
      <c r="G4319" s="6" t="s">
        <v>16</v>
      </c>
      <c r="H4319" s="5">
        <v>5</v>
      </c>
      <c r="I4319" s="6" t="s">
        <v>11257</v>
      </c>
      <c r="J4319" s="5">
        <v>1000</v>
      </c>
    </row>
    <row r="4320" s="2" customFormat="1" spans="1:10">
      <c r="A4320" s="6">
        <f>4318</f>
        <v>4318</v>
      </c>
      <c r="B4320" s="6" t="s">
        <v>11258</v>
      </c>
      <c r="C4320" s="6" t="s">
        <v>12</v>
      </c>
      <c r="D4320" s="6" t="s">
        <v>9344</v>
      </c>
      <c r="E4320" s="6" t="s">
        <v>11172</v>
      </c>
      <c r="F4320" s="6" t="s">
        <v>11259</v>
      </c>
      <c r="G4320" s="6" t="s">
        <v>16</v>
      </c>
      <c r="H4320" s="5">
        <v>2</v>
      </c>
      <c r="I4320" s="6" t="s">
        <v>11260</v>
      </c>
      <c r="J4320" s="5">
        <v>820</v>
      </c>
    </row>
    <row r="4321" s="2" customFormat="1" spans="1:10">
      <c r="A4321" s="6">
        <f>4319</f>
        <v>4319</v>
      </c>
      <c r="B4321" s="6" t="s">
        <v>11261</v>
      </c>
      <c r="C4321" s="6" t="s">
        <v>12</v>
      </c>
      <c r="D4321" s="6" t="s">
        <v>9344</v>
      </c>
      <c r="E4321" s="6" t="s">
        <v>11172</v>
      </c>
      <c r="F4321" s="6" t="s">
        <v>11262</v>
      </c>
      <c r="G4321" s="6" t="s">
        <v>16</v>
      </c>
      <c r="H4321" s="5">
        <v>3</v>
      </c>
      <c r="I4321" s="6" t="s">
        <v>11263</v>
      </c>
      <c r="J4321" s="5">
        <v>720</v>
      </c>
    </row>
    <row r="4322" s="2" customFormat="1" spans="1:10">
      <c r="A4322" s="6">
        <f>4320</f>
        <v>4320</v>
      </c>
      <c r="B4322" s="6" t="s">
        <v>11264</v>
      </c>
      <c r="C4322" s="6" t="s">
        <v>12</v>
      </c>
      <c r="D4322" s="6" t="s">
        <v>9344</v>
      </c>
      <c r="E4322" s="6" t="s">
        <v>11172</v>
      </c>
      <c r="F4322" s="6" t="s">
        <v>11265</v>
      </c>
      <c r="G4322" s="6" t="s">
        <v>16</v>
      </c>
      <c r="H4322" s="5">
        <v>1</v>
      </c>
      <c r="I4322" s="6" t="s">
        <v>11265</v>
      </c>
      <c r="J4322" s="5">
        <v>243</v>
      </c>
    </row>
    <row r="4323" s="2" customFormat="1" spans="1:10">
      <c r="A4323" s="6">
        <f>4321</f>
        <v>4321</v>
      </c>
      <c r="B4323" s="6" t="s">
        <v>11266</v>
      </c>
      <c r="C4323" s="6" t="s">
        <v>12</v>
      </c>
      <c r="D4323" s="6" t="s">
        <v>9344</v>
      </c>
      <c r="E4323" s="6" t="s">
        <v>11172</v>
      </c>
      <c r="F4323" s="6" t="s">
        <v>11267</v>
      </c>
      <c r="G4323" s="6" t="s">
        <v>16</v>
      </c>
      <c r="H4323" s="5">
        <v>1</v>
      </c>
      <c r="I4323" s="6" t="s">
        <v>11267</v>
      </c>
      <c r="J4323" s="5">
        <v>243</v>
      </c>
    </row>
    <row r="4324" s="2" customFormat="1" spans="1:10">
      <c r="A4324" s="6">
        <f>4322</f>
        <v>4322</v>
      </c>
      <c r="B4324" s="6" t="s">
        <v>11268</v>
      </c>
      <c r="C4324" s="6" t="s">
        <v>12</v>
      </c>
      <c r="D4324" s="6" t="s">
        <v>9344</v>
      </c>
      <c r="E4324" s="6" t="s">
        <v>11172</v>
      </c>
      <c r="F4324" s="6" t="s">
        <v>11269</v>
      </c>
      <c r="G4324" s="6" t="s">
        <v>16</v>
      </c>
      <c r="H4324" s="5">
        <v>1</v>
      </c>
      <c r="I4324" s="6" t="s">
        <v>11269</v>
      </c>
      <c r="J4324" s="5">
        <v>440</v>
      </c>
    </row>
    <row r="4325" s="2" customFormat="1" spans="1:10">
      <c r="A4325" s="6">
        <f>4323</f>
        <v>4323</v>
      </c>
      <c r="B4325" s="6" t="s">
        <v>11270</v>
      </c>
      <c r="C4325" s="6" t="s">
        <v>12</v>
      </c>
      <c r="D4325" s="6" t="s">
        <v>9344</v>
      </c>
      <c r="E4325" s="6" t="s">
        <v>11172</v>
      </c>
      <c r="F4325" s="6" t="s">
        <v>11271</v>
      </c>
      <c r="G4325" s="6" t="s">
        <v>16</v>
      </c>
      <c r="H4325" s="5">
        <v>1</v>
      </c>
      <c r="I4325" s="6" t="s">
        <v>11271</v>
      </c>
      <c r="J4325" s="5">
        <v>400</v>
      </c>
    </row>
    <row r="4326" s="2" customFormat="1" spans="1:10">
      <c r="A4326" s="6">
        <f>4324</f>
        <v>4324</v>
      </c>
      <c r="B4326" s="6" t="s">
        <v>11272</v>
      </c>
      <c r="C4326" s="6" t="s">
        <v>12</v>
      </c>
      <c r="D4326" s="6" t="s">
        <v>9344</v>
      </c>
      <c r="E4326" s="6" t="s">
        <v>11172</v>
      </c>
      <c r="F4326" s="6" t="s">
        <v>11273</v>
      </c>
      <c r="G4326" s="6" t="s">
        <v>16</v>
      </c>
      <c r="H4326" s="5">
        <v>3</v>
      </c>
      <c r="I4326" s="6" t="s">
        <v>11274</v>
      </c>
      <c r="J4326" s="5">
        <v>930</v>
      </c>
    </row>
    <row r="4327" s="2" customFormat="1" ht="27" spans="1:10">
      <c r="A4327" s="6">
        <f>4325</f>
        <v>4325</v>
      </c>
      <c r="B4327" s="6" t="s">
        <v>11275</v>
      </c>
      <c r="C4327" s="6" t="s">
        <v>12</v>
      </c>
      <c r="D4327" s="6" t="s">
        <v>9344</v>
      </c>
      <c r="E4327" s="6" t="s">
        <v>11172</v>
      </c>
      <c r="F4327" s="6" t="s">
        <v>11276</v>
      </c>
      <c r="G4327" s="6" t="s">
        <v>16</v>
      </c>
      <c r="H4327" s="5">
        <v>4</v>
      </c>
      <c r="I4327" s="6" t="s">
        <v>11277</v>
      </c>
      <c r="J4327" s="5">
        <v>800</v>
      </c>
    </row>
    <row r="4328" s="2" customFormat="1" spans="1:10">
      <c r="A4328" s="6">
        <f>4326</f>
        <v>4326</v>
      </c>
      <c r="B4328" s="6" t="s">
        <v>11278</v>
      </c>
      <c r="C4328" s="6" t="s">
        <v>12</v>
      </c>
      <c r="D4328" s="6" t="s">
        <v>9344</v>
      </c>
      <c r="E4328" s="6" t="s">
        <v>11172</v>
      </c>
      <c r="F4328" s="6" t="s">
        <v>11279</v>
      </c>
      <c r="G4328" s="6" t="s">
        <v>16</v>
      </c>
      <c r="H4328" s="5">
        <v>3</v>
      </c>
      <c r="I4328" s="6" t="s">
        <v>11280</v>
      </c>
      <c r="J4328" s="5">
        <v>841</v>
      </c>
    </row>
    <row r="4329" s="2" customFormat="1" spans="1:10">
      <c r="A4329" s="6">
        <f>4327</f>
        <v>4327</v>
      </c>
      <c r="B4329" s="6" t="s">
        <v>11281</v>
      </c>
      <c r="C4329" s="6" t="s">
        <v>12</v>
      </c>
      <c r="D4329" s="6" t="s">
        <v>9344</v>
      </c>
      <c r="E4329" s="6" t="s">
        <v>11172</v>
      </c>
      <c r="F4329" s="6" t="s">
        <v>11282</v>
      </c>
      <c r="G4329" s="6" t="s">
        <v>16</v>
      </c>
      <c r="H4329" s="5">
        <v>3</v>
      </c>
      <c r="I4329" s="6" t="s">
        <v>11283</v>
      </c>
      <c r="J4329" s="5">
        <v>640</v>
      </c>
    </row>
    <row r="4330" s="2" customFormat="1" spans="1:10">
      <c r="A4330" s="6">
        <f>4328</f>
        <v>4328</v>
      </c>
      <c r="B4330" s="6" t="s">
        <v>11284</v>
      </c>
      <c r="C4330" s="6" t="s">
        <v>12</v>
      </c>
      <c r="D4330" s="6" t="s">
        <v>9344</v>
      </c>
      <c r="E4330" s="6" t="s">
        <v>11172</v>
      </c>
      <c r="F4330" s="6" t="s">
        <v>11285</v>
      </c>
      <c r="G4330" s="6" t="s">
        <v>16</v>
      </c>
      <c r="H4330" s="5">
        <v>1</v>
      </c>
      <c r="I4330" s="6" t="s">
        <v>11285</v>
      </c>
      <c r="J4330" s="5">
        <v>238</v>
      </c>
    </row>
    <row r="4331" s="2" customFormat="1" spans="1:10">
      <c r="A4331" s="6">
        <f>4329</f>
        <v>4329</v>
      </c>
      <c r="B4331" s="6" t="s">
        <v>11286</v>
      </c>
      <c r="C4331" s="6" t="s">
        <v>12</v>
      </c>
      <c r="D4331" s="6" t="s">
        <v>9344</v>
      </c>
      <c r="E4331" s="6" t="s">
        <v>11172</v>
      </c>
      <c r="F4331" s="6" t="s">
        <v>11287</v>
      </c>
      <c r="G4331" s="6" t="s">
        <v>16</v>
      </c>
      <c r="H4331" s="5">
        <v>3</v>
      </c>
      <c r="I4331" s="6" t="s">
        <v>11288</v>
      </c>
      <c r="J4331" s="5">
        <v>1180</v>
      </c>
    </row>
    <row r="4332" s="2" customFormat="1" spans="1:10">
      <c r="A4332" s="6">
        <f>4330</f>
        <v>4330</v>
      </c>
      <c r="B4332" s="6" t="s">
        <v>11289</v>
      </c>
      <c r="C4332" s="6" t="s">
        <v>12</v>
      </c>
      <c r="D4332" s="6" t="s">
        <v>9344</v>
      </c>
      <c r="E4332" s="6" t="s">
        <v>11172</v>
      </c>
      <c r="F4332" s="6" t="s">
        <v>11290</v>
      </c>
      <c r="G4332" s="6" t="s">
        <v>16</v>
      </c>
      <c r="H4332" s="5">
        <v>2</v>
      </c>
      <c r="I4332" s="6" t="s">
        <v>11291</v>
      </c>
      <c r="J4332" s="5">
        <v>620</v>
      </c>
    </row>
    <row r="4333" s="2" customFormat="1" spans="1:10">
      <c r="A4333" s="6">
        <f>4331</f>
        <v>4331</v>
      </c>
      <c r="B4333" s="6" t="s">
        <v>11292</v>
      </c>
      <c r="C4333" s="6" t="s">
        <v>12</v>
      </c>
      <c r="D4333" s="6" t="s">
        <v>9344</v>
      </c>
      <c r="E4333" s="6" t="s">
        <v>11172</v>
      </c>
      <c r="F4333" s="6" t="s">
        <v>11293</v>
      </c>
      <c r="G4333" s="6" t="s">
        <v>16</v>
      </c>
      <c r="H4333" s="5">
        <v>3</v>
      </c>
      <c r="I4333" s="6" t="s">
        <v>11294</v>
      </c>
      <c r="J4333" s="5">
        <v>820</v>
      </c>
    </row>
    <row r="4334" s="2" customFormat="1" spans="1:10">
      <c r="A4334" s="6">
        <f>4332</f>
        <v>4332</v>
      </c>
      <c r="B4334" s="6" t="s">
        <v>11295</v>
      </c>
      <c r="C4334" s="6" t="s">
        <v>12</v>
      </c>
      <c r="D4334" s="6" t="s">
        <v>9344</v>
      </c>
      <c r="E4334" s="6" t="s">
        <v>11172</v>
      </c>
      <c r="F4334" s="6" t="s">
        <v>11296</v>
      </c>
      <c r="G4334" s="6" t="s">
        <v>16</v>
      </c>
      <c r="H4334" s="5">
        <v>3</v>
      </c>
      <c r="I4334" s="6" t="s">
        <v>11297</v>
      </c>
      <c r="J4334" s="5">
        <v>1420</v>
      </c>
    </row>
    <row r="4335" s="2" customFormat="1" spans="1:10">
      <c r="A4335" s="6">
        <f>4333</f>
        <v>4333</v>
      </c>
      <c r="B4335" s="6" t="s">
        <v>11298</v>
      </c>
      <c r="C4335" s="6" t="s">
        <v>12</v>
      </c>
      <c r="D4335" s="6" t="s">
        <v>9344</v>
      </c>
      <c r="E4335" s="6" t="s">
        <v>11172</v>
      </c>
      <c r="F4335" s="6" t="s">
        <v>11299</v>
      </c>
      <c r="G4335" s="6" t="s">
        <v>16</v>
      </c>
      <c r="H4335" s="5">
        <v>1</v>
      </c>
      <c r="I4335" s="6" t="s">
        <v>11299</v>
      </c>
      <c r="J4335" s="5">
        <v>573</v>
      </c>
    </row>
    <row r="4336" s="2" customFormat="1" spans="1:10">
      <c r="A4336" s="6">
        <f>4334</f>
        <v>4334</v>
      </c>
      <c r="B4336" s="6" t="s">
        <v>11300</v>
      </c>
      <c r="C4336" s="6" t="s">
        <v>12</v>
      </c>
      <c r="D4336" s="6" t="s">
        <v>9344</v>
      </c>
      <c r="E4336" s="6" t="s">
        <v>11172</v>
      </c>
      <c r="F4336" s="6" t="s">
        <v>11301</v>
      </c>
      <c r="G4336" s="6" t="s">
        <v>16</v>
      </c>
      <c r="H4336" s="5">
        <v>1</v>
      </c>
      <c r="I4336" s="6" t="s">
        <v>11301</v>
      </c>
      <c r="J4336" s="5">
        <v>238</v>
      </c>
    </row>
    <row r="4337" s="2" customFormat="1" spans="1:10">
      <c r="A4337" s="6">
        <f>4335</f>
        <v>4335</v>
      </c>
      <c r="B4337" s="6" t="s">
        <v>11302</v>
      </c>
      <c r="C4337" s="6" t="s">
        <v>12</v>
      </c>
      <c r="D4337" s="6" t="s">
        <v>9344</v>
      </c>
      <c r="E4337" s="6" t="s">
        <v>11172</v>
      </c>
      <c r="F4337" s="6" t="s">
        <v>11303</v>
      </c>
      <c r="G4337" s="6" t="s">
        <v>16</v>
      </c>
      <c r="H4337" s="5">
        <v>3</v>
      </c>
      <c r="I4337" s="6" t="s">
        <v>11304</v>
      </c>
      <c r="J4337" s="5">
        <v>808</v>
      </c>
    </row>
    <row r="4338" s="2" customFormat="1" spans="1:10">
      <c r="A4338" s="6">
        <f>4336</f>
        <v>4336</v>
      </c>
      <c r="B4338" s="6" t="s">
        <v>11305</v>
      </c>
      <c r="C4338" s="6" t="s">
        <v>12</v>
      </c>
      <c r="D4338" s="6" t="s">
        <v>9344</v>
      </c>
      <c r="E4338" s="6" t="s">
        <v>11172</v>
      </c>
      <c r="F4338" s="6" t="s">
        <v>11306</v>
      </c>
      <c r="G4338" s="6" t="s">
        <v>16</v>
      </c>
      <c r="H4338" s="5">
        <v>1</v>
      </c>
      <c r="I4338" s="6" t="s">
        <v>11306</v>
      </c>
      <c r="J4338" s="5">
        <v>243</v>
      </c>
    </row>
    <row r="4339" s="2" customFormat="1" spans="1:10">
      <c r="A4339" s="6">
        <f>4337</f>
        <v>4337</v>
      </c>
      <c r="B4339" s="6" t="s">
        <v>11307</v>
      </c>
      <c r="C4339" s="6" t="s">
        <v>12</v>
      </c>
      <c r="D4339" s="6" t="s">
        <v>9344</v>
      </c>
      <c r="E4339" s="6" t="s">
        <v>11172</v>
      </c>
      <c r="F4339" s="6" t="s">
        <v>11308</v>
      </c>
      <c r="G4339" s="6" t="s">
        <v>16</v>
      </c>
      <c r="H4339" s="5">
        <v>2</v>
      </c>
      <c r="I4339" s="6" t="s">
        <v>11309</v>
      </c>
      <c r="J4339" s="5">
        <v>670</v>
      </c>
    </row>
    <row r="4340" s="2" customFormat="1" spans="1:10">
      <c r="A4340" s="6">
        <f>4338</f>
        <v>4338</v>
      </c>
      <c r="B4340" s="6" t="s">
        <v>11310</v>
      </c>
      <c r="C4340" s="6" t="s">
        <v>12</v>
      </c>
      <c r="D4340" s="6" t="s">
        <v>9344</v>
      </c>
      <c r="E4340" s="6" t="s">
        <v>11172</v>
      </c>
      <c r="F4340" s="6" t="s">
        <v>11311</v>
      </c>
      <c r="G4340" s="6" t="s">
        <v>16</v>
      </c>
      <c r="H4340" s="5">
        <v>1</v>
      </c>
      <c r="I4340" s="6" t="s">
        <v>11311</v>
      </c>
      <c r="J4340" s="5">
        <v>265</v>
      </c>
    </row>
    <row r="4341" s="2" customFormat="1" spans="1:10">
      <c r="A4341" s="6">
        <f>4339</f>
        <v>4339</v>
      </c>
      <c r="B4341" s="6" t="s">
        <v>11312</v>
      </c>
      <c r="C4341" s="6" t="s">
        <v>12</v>
      </c>
      <c r="D4341" s="6" t="s">
        <v>9344</v>
      </c>
      <c r="E4341" s="6" t="s">
        <v>11172</v>
      </c>
      <c r="F4341" s="6" t="s">
        <v>11313</v>
      </c>
      <c r="G4341" s="6" t="s">
        <v>16</v>
      </c>
      <c r="H4341" s="5">
        <v>1</v>
      </c>
      <c r="I4341" s="6" t="s">
        <v>11313</v>
      </c>
      <c r="J4341" s="5">
        <v>600</v>
      </c>
    </row>
    <row r="4342" s="2" customFormat="1" spans="1:10">
      <c r="A4342" s="6">
        <f>4340</f>
        <v>4340</v>
      </c>
      <c r="B4342" s="6" t="s">
        <v>11314</v>
      </c>
      <c r="C4342" s="6" t="s">
        <v>12</v>
      </c>
      <c r="D4342" s="6" t="s">
        <v>9344</v>
      </c>
      <c r="E4342" s="6" t="s">
        <v>11172</v>
      </c>
      <c r="F4342" s="6" t="s">
        <v>11315</v>
      </c>
      <c r="G4342" s="6" t="s">
        <v>16</v>
      </c>
      <c r="H4342" s="5">
        <v>2</v>
      </c>
      <c r="I4342" s="6" t="s">
        <v>11316</v>
      </c>
      <c r="J4342" s="5">
        <v>486</v>
      </c>
    </row>
    <row r="4343" s="2" customFormat="1" spans="1:10">
      <c r="A4343" s="6">
        <f>4341</f>
        <v>4341</v>
      </c>
      <c r="B4343" s="6" t="s">
        <v>11317</v>
      </c>
      <c r="C4343" s="6" t="s">
        <v>12</v>
      </c>
      <c r="D4343" s="6" t="s">
        <v>9344</v>
      </c>
      <c r="E4343" s="6" t="s">
        <v>11172</v>
      </c>
      <c r="F4343" s="6" t="s">
        <v>11318</v>
      </c>
      <c r="G4343" s="6" t="s">
        <v>16</v>
      </c>
      <c r="H4343" s="5">
        <v>1</v>
      </c>
      <c r="I4343" s="6" t="s">
        <v>11318</v>
      </c>
      <c r="J4343" s="5">
        <v>395</v>
      </c>
    </row>
    <row r="4344" s="2" customFormat="1" spans="1:10">
      <c r="A4344" s="6">
        <f>4342</f>
        <v>4342</v>
      </c>
      <c r="B4344" s="6" t="s">
        <v>11319</v>
      </c>
      <c r="C4344" s="6" t="s">
        <v>12</v>
      </c>
      <c r="D4344" s="6" t="s">
        <v>9344</v>
      </c>
      <c r="E4344" s="6" t="s">
        <v>11172</v>
      </c>
      <c r="F4344" s="6" t="s">
        <v>11320</v>
      </c>
      <c r="G4344" s="6" t="s">
        <v>16</v>
      </c>
      <c r="H4344" s="5">
        <v>1</v>
      </c>
      <c r="I4344" s="6" t="s">
        <v>11320</v>
      </c>
      <c r="J4344" s="5">
        <v>418</v>
      </c>
    </row>
    <row r="4345" s="2" customFormat="1" ht="40.5" spans="1:10">
      <c r="A4345" s="6">
        <f>4343</f>
        <v>4343</v>
      </c>
      <c r="B4345" s="6" t="s">
        <v>11321</v>
      </c>
      <c r="C4345" s="6" t="s">
        <v>12</v>
      </c>
      <c r="D4345" s="6" t="s">
        <v>9344</v>
      </c>
      <c r="E4345" s="6" t="s">
        <v>11172</v>
      </c>
      <c r="F4345" s="6" t="s">
        <v>11322</v>
      </c>
      <c r="G4345" s="6" t="s">
        <v>16</v>
      </c>
      <c r="H4345" s="5">
        <v>7</v>
      </c>
      <c r="I4345" s="6" t="s">
        <v>11323</v>
      </c>
      <c r="J4345" s="5">
        <v>1300</v>
      </c>
    </row>
    <row r="4346" s="2" customFormat="1" spans="1:10">
      <c r="A4346" s="6">
        <f>4344</f>
        <v>4344</v>
      </c>
      <c r="B4346" s="6" t="s">
        <v>11324</v>
      </c>
      <c r="C4346" s="6" t="s">
        <v>12</v>
      </c>
      <c r="D4346" s="6" t="s">
        <v>9344</v>
      </c>
      <c r="E4346" s="6" t="s">
        <v>11172</v>
      </c>
      <c r="F4346" s="6" t="s">
        <v>11325</v>
      </c>
      <c r="G4346" s="6" t="s">
        <v>16</v>
      </c>
      <c r="H4346" s="5">
        <v>1</v>
      </c>
      <c r="I4346" s="6" t="s">
        <v>11325</v>
      </c>
      <c r="J4346" s="5">
        <v>238</v>
      </c>
    </row>
    <row r="4347" s="2" customFormat="1" spans="1:10">
      <c r="A4347" s="6">
        <f>4345</f>
        <v>4345</v>
      </c>
      <c r="B4347" s="6" t="s">
        <v>11326</v>
      </c>
      <c r="C4347" s="6" t="s">
        <v>12</v>
      </c>
      <c r="D4347" s="6" t="s">
        <v>9344</v>
      </c>
      <c r="E4347" s="6" t="s">
        <v>11172</v>
      </c>
      <c r="F4347" s="6" t="s">
        <v>11327</v>
      </c>
      <c r="G4347" s="6" t="s">
        <v>16</v>
      </c>
      <c r="H4347" s="5">
        <v>1</v>
      </c>
      <c r="I4347" s="6" t="s">
        <v>11327</v>
      </c>
      <c r="J4347" s="5">
        <v>362</v>
      </c>
    </row>
    <row r="4348" s="2" customFormat="1" spans="1:10">
      <c r="A4348" s="6">
        <f>4346</f>
        <v>4346</v>
      </c>
      <c r="B4348" s="6" t="s">
        <v>11328</v>
      </c>
      <c r="C4348" s="6" t="s">
        <v>12</v>
      </c>
      <c r="D4348" s="6" t="s">
        <v>9344</v>
      </c>
      <c r="E4348" s="6" t="s">
        <v>11172</v>
      </c>
      <c r="F4348" s="6" t="s">
        <v>5511</v>
      </c>
      <c r="G4348" s="6" t="s">
        <v>16</v>
      </c>
      <c r="H4348" s="5">
        <v>1</v>
      </c>
      <c r="I4348" s="6" t="s">
        <v>5511</v>
      </c>
      <c r="J4348" s="5">
        <v>318</v>
      </c>
    </row>
    <row r="4349" s="2" customFormat="1" spans="1:10">
      <c r="A4349" s="6">
        <f>4347</f>
        <v>4347</v>
      </c>
      <c r="B4349" s="6" t="s">
        <v>11329</v>
      </c>
      <c r="C4349" s="6" t="s">
        <v>12</v>
      </c>
      <c r="D4349" s="6" t="s">
        <v>9344</v>
      </c>
      <c r="E4349" s="6" t="s">
        <v>11172</v>
      </c>
      <c r="F4349" s="6" t="s">
        <v>11330</v>
      </c>
      <c r="G4349" s="6" t="s">
        <v>16</v>
      </c>
      <c r="H4349" s="5">
        <v>1</v>
      </c>
      <c r="I4349" s="6" t="s">
        <v>11330</v>
      </c>
      <c r="J4349" s="5">
        <v>440</v>
      </c>
    </row>
    <row r="4350" s="2" customFormat="1" spans="1:10">
      <c r="A4350" s="6">
        <f>4348</f>
        <v>4348</v>
      </c>
      <c r="B4350" s="6" t="s">
        <v>11331</v>
      </c>
      <c r="C4350" s="6" t="s">
        <v>12</v>
      </c>
      <c r="D4350" s="6" t="s">
        <v>9344</v>
      </c>
      <c r="E4350" s="6" t="s">
        <v>11172</v>
      </c>
      <c r="F4350" s="6" t="s">
        <v>11332</v>
      </c>
      <c r="G4350" s="6" t="s">
        <v>16</v>
      </c>
      <c r="H4350" s="5">
        <v>1</v>
      </c>
      <c r="I4350" s="6" t="s">
        <v>11332</v>
      </c>
      <c r="J4350" s="5">
        <v>238</v>
      </c>
    </row>
    <row r="4351" s="2" customFormat="1" spans="1:10">
      <c r="A4351" s="6">
        <f>4349</f>
        <v>4349</v>
      </c>
      <c r="B4351" s="6" t="s">
        <v>11333</v>
      </c>
      <c r="C4351" s="6" t="s">
        <v>12</v>
      </c>
      <c r="D4351" s="6" t="s">
        <v>9344</v>
      </c>
      <c r="E4351" s="6" t="s">
        <v>11172</v>
      </c>
      <c r="F4351" s="6" t="s">
        <v>11334</v>
      </c>
      <c r="G4351" s="6" t="s">
        <v>16</v>
      </c>
      <c r="H4351" s="5">
        <v>1</v>
      </c>
      <c r="I4351" s="6" t="s">
        <v>11334</v>
      </c>
      <c r="J4351" s="5">
        <v>320</v>
      </c>
    </row>
    <row r="4352" s="2" customFormat="1" spans="1:10">
      <c r="A4352" s="6">
        <f>4350</f>
        <v>4350</v>
      </c>
      <c r="B4352" s="6" t="s">
        <v>11335</v>
      </c>
      <c r="C4352" s="6" t="s">
        <v>12</v>
      </c>
      <c r="D4352" s="6" t="s">
        <v>9344</v>
      </c>
      <c r="E4352" s="6" t="s">
        <v>11172</v>
      </c>
      <c r="F4352" s="6" t="s">
        <v>707</v>
      </c>
      <c r="G4352" s="6" t="s">
        <v>16</v>
      </c>
      <c r="H4352" s="5">
        <v>2</v>
      </c>
      <c r="I4352" s="6" t="s">
        <v>11336</v>
      </c>
      <c r="J4352" s="5">
        <v>400</v>
      </c>
    </row>
    <row r="4353" s="2" customFormat="1" ht="27" spans="1:10">
      <c r="A4353" s="6">
        <f>4351</f>
        <v>4351</v>
      </c>
      <c r="B4353" s="6" t="s">
        <v>11337</v>
      </c>
      <c r="C4353" s="6" t="s">
        <v>12</v>
      </c>
      <c r="D4353" s="6" t="s">
        <v>9344</v>
      </c>
      <c r="E4353" s="6" t="s">
        <v>11172</v>
      </c>
      <c r="F4353" s="6" t="s">
        <v>11338</v>
      </c>
      <c r="G4353" s="6" t="s">
        <v>16</v>
      </c>
      <c r="H4353" s="5">
        <v>4</v>
      </c>
      <c r="I4353" s="6" t="s">
        <v>11339</v>
      </c>
      <c r="J4353" s="5">
        <v>872</v>
      </c>
    </row>
    <row r="4354" s="2" customFormat="1" spans="1:10">
      <c r="A4354" s="6">
        <f>4352</f>
        <v>4352</v>
      </c>
      <c r="B4354" s="6" t="s">
        <v>11340</v>
      </c>
      <c r="C4354" s="6" t="s">
        <v>12</v>
      </c>
      <c r="D4354" s="6" t="s">
        <v>9344</v>
      </c>
      <c r="E4354" s="6" t="s">
        <v>11172</v>
      </c>
      <c r="F4354" s="6" t="s">
        <v>11341</v>
      </c>
      <c r="G4354" s="6" t="s">
        <v>16</v>
      </c>
      <c r="H4354" s="5">
        <v>2</v>
      </c>
      <c r="I4354" s="6" t="s">
        <v>11342</v>
      </c>
      <c r="J4354" s="5">
        <v>920</v>
      </c>
    </row>
    <row r="4355" s="2" customFormat="1" spans="1:10">
      <c r="A4355" s="6">
        <f>4353</f>
        <v>4353</v>
      </c>
      <c r="B4355" s="6" t="s">
        <v>11343</v>
      </c>
      <c r="C4355" s="6" t="s">
        <v>12</v>
      </c>
      <c r="D4355" s="6" t="s">
        <v>9344</v>
      </c>
      <c r="E4355" s="6" t="s">
        <v>11172</v>
      </c>
      <c r="F4355" s="6" t="s">
        <v>11344</v>
      </c>
      <c r="G4355" s="6" t="s">
        <v>16</v>
      </c>
      <c r="H4355" s="5">
        <v>2</v>
      </c>
      <c r="I4355" s="6" t="s">
        <v>11345</v>
      </c>
      <c r="J4355" s="5">
        <v>658</v>
      </c>
    </row>
    <row r="4356" s="2" customFormat="1" spans="1:10">
      <c r="A4356" s="6">
        <f>4354</f>
        <v>4354</v>
      </c>
      <c r="B4356" s="6" t="s">
        <v>11346</v>
      </c>
      <c r="C4356" s="6" t="s">
        <v>12</v>
      </c>
      <c r="D4356" s="6" t="s">
        <v>9344</v>
      </c>
      <c r="E4356" s="6" t="s">
        <v>11172</v>
      </c>
      <c r="F4356" s="6" t="s">
        <v>11347</v>
      </c>
      <c r="G4356" s="6" t="s">
        <v>16</v>
      </c>
      <c r="H4356" s="5">
        <v>1</v>
      </c>
      <c r="I4356" s="6" t="s">
        <v>11347</v>
      </c>
      <c r="J4356" s="5">
        <v>360</v>
      </c>
    </row>
    <row r="4357" s="2" customFormat="1" spans="1:10">
      <c r="A4357" s="6">
        <f>4355</f>
        <v>4355</v>
      </c>
      <c r="B4357" s="6" t="s">
        <v>11348</v>
      </c>
      <c r="C4357" s="6" t="s">
        <v>12</v>
      </c>
      <c r="D4357" s="6" t="s">
        <v>9344</v>
      </c>
      <c r="E4357" s="6" t="s">
        <v>11172</v>
      </c>
      <c r="F4357" s="6" t="s">
        <v>11349</v>
      </c>
      <c r="G4357" s="6" t="s">
        <v>16</v>
      </c>
      <c r="H4357" s="5">
        <v>2</v>
      </c>
      <c r="I4357" s="6" t="s">
        <v>11350</v>
      </c>
      <c r="J4357" s="5">
        <v>635</v>
      </c>
    </row>
    <row r="4358" s="2" customFormat="1" spans="1:10">
      <c r="A4358" s="6">
        <f>4356</f>
        <v>4356</v>
      </c>
      <c r="B4358" s="6" t="s">
        <v>11351</v>
      </c>
      <c r="C4358" s="6" t="s">
        <v>12</v>
      </c>
      <c r="D4358" s="6" t="s">
        <v>9344</v>
      </c>
      <c r="E4358" s="6" t="s">
        <v>11172</v>
      </c>
      <c r="F4358" s="6" t="s">
        <v>11352</v>
      </c>
      <c r="G4358" s="6" t="s">
        <v>16</v>
      </c>
      <c r="H4358" s="5">
        <v>1</v>
      </c>
      <c r="I4358" s="6" t="s">
        <v>11352</v>
      </c>
      <c r="J4358" s="5">
        <v>368</v>
      </c>
    </row>
    <row r="4359" s="2" customFormat="1" spans="1:10">
      <c r="A4359" s="6">
        <f>4357</f>
        <v>4357</v>
      </c>
      <c r="B4359" s="6" t="s">
        <v>11353</v>
      </c>
      <c r="C4359" s="6" t="s">
        <v>12</v>
      </c>
      <c r="D4359" s="6" t="s">
        <v>9344</v>
      </c>
      <c r="E4359" s="6" t="s">
        <v>11172</v>
      </c>
      <c r="F4359" s="6" t="s">
        <v>11354</v>
      </c>
      <c r="G4359" s="6" t="s">
        <v>16</v>
      </c>
      <c r="H4359" s="5">
        <v>1</v>
      </c>
      <c r="I4359" s="6" t="s">
        <v>11354</v>
      </c>
      <c r="J4359" s="5">
        <v>243</v>
      </c>
    </row>
    <row r="4360" s="2" customFormat="1" ht="27" spans="1:10">
      <c r="A4360" s="6">
        <f>4358</f>
        <v>4358</v>
      </c>
      <c r="B4360" s="6" t="s">
        <v>11355</v>
      </c>
      <c r="C4360" s="6" t="s">
        <v>12</v>
      </c>
      <c r="D4360" s="6" t="s">
        <v>9344</v>
      </c>
      <c r="E4360" s="6" t="s">
        <v>11172</v>
      </c>
      <c r="F4360" s="6" t="s">
        <v>11356</v>
      </c>
      <c r="G4360" s="6" t="s">
        <v>16</v>
      </c>
      <c r="H4360" s="5">
        <v>4</v>
      </c>
      <c r="I4360" s="6" t="s">
        <v>11357</v>
      </c>
      <c r="J4360" s="5">
        <v>1190</v>
      </c>
    </row>
    <row r="4361" s="2" customFormat="1" spans="1:10">
      <c r="A4361" s="6">
        <f>4359</f>
        <v>4359</v>
      </c>
      <c r="B4361" s="6" t="s">
        <v>11358</v>
      </c>
      <c r="C4361" s="6" t="s">
        <v>12</v>
      </c>
      <c r="D4361" s="6" t="s">
        <v>9344</v>
      </c>
      <c r="E4361" s="6" t="s">
        <v>11172</v>
      </c>
      <c r="F4361" s="6" t="s">
        <v>11359</v>
      </c>
      <c r="G4361" s="6" t="s">
        <v>16</v>
      </c>
      <c r="H4361" s="5">
        <v>2</v>
      </c>
      <c r="I4361" s="6" t="s">
        <v>11360</v>
      </c>
      <c r="J4361" s="5">
        <v>1080</v>
      </c>
    </row>
    <row r="4362" s="2" customFormat="1" ht="27" spans="1:10">
      <c r="A4362" s="6">
        <f>4360</f>
        <v>4360</v>
      </c>
      <c r="B4362" s="6" t="s">
        <v>11361</v>
      </c>
      <c r="C4362" s="6" t="s">
        <v>12</v>
      </c>
      <c r="D4362" s="6" t="s">
        <v>9344</v>
      </c>
      <c r="E4362" s="6" t="s">
        <v>11172</v>
      </c>
      <c r="F4362" s="6" t="s">
        <v>11362</v>
      </c>
      <c r="G4362" s="6" t="s">
        <v>16</v>
      </c>
      <c r="H4362" s="5">
        <v>4</v>
      </c>
      <c r="I4362" s="6" t="s">
        <v>11363</v>
      </c>
      <c r="J4362" s="5">
        <v>990</v>
      </c>
    </row>
    <row r="4363" s="2" customFormat="1" spans="1:10">
      <c r="A4363" s="6">
        <f>4361</f>
        <v>4361</v>
      </c>
      <c r="B4363" s="6" t="s">
        <v>11364</v>
      </c>
      <c r="C4363" s="6" t="s">
        <v>12</v>
      </c>
      <c r="D4363" s="6" t="s">
        <v>9344</v>
      </c>
      <c r="E4363" s="6" t="s">
        <v>11172</v>
      </c>
      <c r="F4363" s="6" t="s">
        <v>11365</v>
      </c>
      <c r="G4363" s="6" t="s">
        <v>16</v>
      </c>
      <c r="H4363" s="5">
        <v>1</v>
      </c>
      <c r="I4363" s="6" t="s">
        <v>11365</v>
      </c>
      <c r="J4363" s="5">
        <v>243</v>
      </c>
    </row>
    <row r="4364" s="2" customFormat="1" spans="1:10">
      <c r="A4364" s="6">
        <f>4362</f>
        <v>4362</v>
      </c>
      <c r="B4364" s="6" t="s">
        <v>11366</v>
      </c>
      <c r="C4364" s="6" t="s">
        <v>12</v>
      </c>
      <c r="D4364" s="6" t="s">
        <v>9344</v>
      </c>
      <c r="E4364" s="6" t="s">
        <v>11172</v>
      </c>
      <c r="F4364" s="6" t="s">
        <v>11367</v>
      </c>
      <c r="G4364" s="6" t="s">
        <v>16</v>
      </c>
      <c r="H4364" s="5">
        <v>1</v>
      </c>
      <c r="I4364" s="6" t="s">
        <v>11367</v>
      </c>
      <c r="J4364" s="5">
        <v>243</v>
      </c>
    </row>
    <row r="4365" s="2" customFormat="1" spans="1:10">
      <c r="A4365" s="6">
        <f>4363</f>
        <v>4363</v>
      </c>
      <c r="B4365" s="6" t="s">
        <v>11368</v>
      </c>
      <c r="C4365" s="6" t="s">
        <v>12</v>
      </c>
      <c r="D4365" s="6" t="s">
        <v>9344</v>
      </c>
      <c r="E4365" s="6" t="s">
        <v>11172</v>
      </c>
      <c r="F4365" s="6" t="s">
        <v>11369</v>
      </c>
      <c r="G4365" s="6" t="s">
        <v>16</v>
      </c>
      <c r="H4365" s="5">
        <v>1</v>
      </c>
      <c r="I4365" s="6" t="s">
        <v>11369</v>
      </c>
      <c r="J4365" s="5">
        <v>238</v>
      </c>
    </row>
    <row r="4366" s="2" customFormat="1" spans="1:10">
      <c r="A4366" s="6">
        <f>4364</f>
        <v>4364</v>
      </c>
      <c r="B4366" s="6" t="s">
        <v>11370</v>
      </c>
      <c r="C4366" s="6" t="s">
        <v>12</v>
      </c>
      <c r="D4366" s="6" t="s">
        <v>9344</v>
      </c>
      <c r="E4366" s="6" t="s">
        <v>11172</v>
      </c>
      <c r="F4366" s="6" t="s">
        <v>11371</v>
      </c>
      <c r="G4366" s="6" t="s">
        <v>16</v>
      </c>
      <c r="H4366" s="5">
        <v>1</v>
      </c>
      <c r="I4366" s="6" t="s">
        <v>11371</v>
      </c>
      <c r="J4366" s="5">
        <v>600</v>
      </c>
    </row>
    <row r="4367" s="2" customFormat="1" spans="1:10">
      <c r="A4367" s="6">
        <f>4365</f>
        <v>4365</v>
      </c>
      <c r="B4367" s="6" t="s">
        <v>11372</v>
      </c>
      <c r="C4367" s="6" t="s">
        <v>12</v>
      </c>
      <c r="D4367" s="6" t="s">
        <v>9344</v>
      </c>
      <c r="E4367" s="6" t="s">
        <v>11172</v>
      </c>
      <c r="F4367" s="6" t="s">
        <v>11373</v>
      </c>
      <c r="G4367" s="6" t="s">
        <v>16</v>
      </c>
      <c r="H4367" s="5">
        <v>1</v>
      </c>
      <c r="I4367" s="6" t="s">
        <v>11373</v>
      </c>
      <c r="J4367" s="5">
        <v>243</v>
      </c>
    </row>
    <row r="4368" s="2" customFormat="1" ht="27" spans="1:10">
      <c r="A4368" s="6">
        <f>4366</f>
        <v>4366</v>
      </c>
      <c r="B4368" s="6" t="s">
        <v>11374</v>
      </c>
      <c r="C4368" s="6" t="s">
        <v>12</v>
      </c>
      <c r="D4368" s="6" t="s">
        <v>9344</v>
      </c>
      <c r="E4368" s="6" t="s">
        <v>11172</v>
      </c>
      <c r="F4368" s="6" t="s">
        <v>11375</v>
      </c>
      <c r="G4368" s="6" t="s">
        <v>16</v>
      </c>
      <c r="H4368" s="5">
        <v>4</v>
      </c>
      <c r="I4368" s="6" t="s">
        <v>11376</v>
      </c>
      <c r="J4368" s="5">
        <v>1090</v>
      </c>
    </row>
    <row r="4369" s="2" customFormat="1" spans="1:10">
      <c r="A4369" s="6">
        <f>4367</f>
        <v>4367</v>
      </c>
      <c r="B4369" s="6" t="s">
        <v>11377</v>
      </c>
      <c r="C4369" s="6" t="s">
        <v>12</v>
      </c>
      <c r="D4369" s="6" t="s">
        <v>9344</v>
      </c>
      <c r="E4369" s="6" t="s">
        <v>11172</v>
      </c>
      <c r="F4369" s="6" t="s">
        <v>11378</v>
      </c>
      <c r="G4369" s="6" t="s">
        <v>16</v>
      </c>
      <c r="H4369" s="5">
        <v>1</v>
      </c>
      <c r="I4369" s="6" t="s">
        <v>11378</v>
      </c>
      <c r="J4369" s="5">
        <v>295</v>
      </c>
    </row>
    <row r="4370" s="2" customFormat="1" spans="1:10">
      <c r="A4370" s="6">
        <f>4368</f>
        <v>4368</v>
      </c>
      <c r="B4370" s="6" t="s">
        <v>11379</v>
      </c>
      <c r="C4370" s="6" t="s">
        <v>12</v>
      </c>
      <c r="D4370" s="6" t="s">
        <v>9344</v>
      </c>
      <c r="E4370" s="6" t="s">
        <v>11172</v>
      </c>
      <c r="F4370" s="6" t="s">
        <v>11380</v>
      </c>
      <c r="G4370" s="6" t="s">
        <v>16</v>
      </c>
      <c r="H4370" s="5">
        <v>1</v>
      </c>
      <c r="I4370" s="6" t="s">
        <v>11380</v>
      </c>
      <c r="J4370" s="5">
        <v>265</v>
      </c>
    </row>
    <row r="4371" s="2" customFormat="1" spans="1:10">
      <c r="A4371" s="6">
        <f>4369</f>
        <v>4369</v>
      </c>
      <c r="B4371" s="6" t="s">
        <v>11381</v>
      </c>
      <c r="C4371" s="6" t="s">
        <v>12</v>
      </c>
      <c r="D4371" s="6" t="s">
        <v>9344</v>
      </c>
      <c r="E4371" s="6" t="s">
        <v>11172</v>
      </c>
      <c r="F4371" s="6" t="s">
        <v>11382</v>
      </c>
      <c r="G4371" s="6" t="s">
        <v>16</v>
      </c>
      <c r="H4371" s="5">
        <v>1</v>
      </c>
      <c r="I4371" s="6" t="s">
        <v>11382</v>
      </c>
      <c r="J4371" s="5">
        <v>238</v>
      </c>
    </row>
    <row r="4372" s="2" customFormat="1" spans="1:10">
      <c r="A4372" s="6">
        <f>4370</f>
        <v>4370</v>
      </c>
      <c r="B4372" s="6" t="s">
        <v>11383</v>
      </c>
      <c r="C4372" s="6" t="s">
        <v>12</v>
      </c>
      <c r="D4372" s="6" t="s">
        <v>9344</v>
      </c>
      <c r="E4372" s="6" t="s">
        <v>11172</v>
      </c>
      <c r="F4372" s="6" t="s">
        <v>11384</v>
      </c>
      <c r="G4372" s="6" t="s">
        <v>16</v>
      </c>
      <c r="H4372" s="5">
        <v>1</v>
      </c>
      <c r="I4372" s="6" t="s">
        <v>11384</v>
      </c>
      <c r="J4372" s="5">
        <v>520</v>
      </c>
    </row>
    <row r="4373" s="2" customFormat="1" spans="1:10">
      <c r="A4373" s="6">
        <f>4371</f>
        <v>4371</v>
      </c>
      <c r="B4373" s="6" t="s">
        <v>11385</v>
      </c>
      <c r="C4373" s="6" t="s">
        <v>12</v>
      </c>
      <c r="D4373" s="6" t="s">
        <v>9344</v>
      </c>
      <c r="E4373" s="6" t="s">
        <v>11172</v>
      </c>
      <c r="F4373" s="6" t="s">
        <v>11386</v>
      </c>
      <c r="G4373" s="6" t="s">
        <v>16</v>
      </c>
      <c r="H4373" s="5">
        <v>1</v>
      </c>
      <c r="I4373" s="6" t="s">
        <v>11386</v>
      </c>
      <c r="J4373" s="5">
        <v>500</v>
      </c>
    </row>
    <row r="4374" s="2" customFormat="1" ht="27" spans="1:10">
      <c r="A4374" s="6">
        <f>4372</f>
        <v>4372</v>
      </c>
      <c r="B4374" s="6" t="s">
        <v>11387</v>
      </c>
      <c r="C4374" s="6" t="s">
        <v>12</v>
      </c>
      <c r="D4374" s="6" t="s">
        <v>9344</v>
      </c>
      <c r="E4374" s="6" t="s">
        <v>11172</v>
      </c>
      <c r="F4374" s="6" t="s">
        <v>11388</v>
      </c>
      <c r="G4374" s="6" t="s">
        <v>16</v>
      </c>
      <c r="H4374" s="5">
        <v>4</v>
      </c>
      <c r="I4374" s="6" t="s">
        <v>11389</v>
      </c>
      <c r="J4374" s="5">
        <v>740</v>
      </c>
    </row>
    <row r="4375" s="2" customFormat="1" spans="1:10">
      <c r="A4375" s="6">
        <f>4373</f>
        <v>4373</v>
      </c>
      <c r="B4375" s="6" t="s">
        <v>11390</v>
      </c>
      <c r="C4375" s="6" t="s">
        <v>12</v>
      </c>
      <c r="D4375" s="6" t="s">
        <v>9344</v>
      </c>
      <c r="E4375" s="6" t="s">
        <v>11172</v>
      </c>
      <c r="F4375" s="6" t="s">
        <v>11391</v>
      </c>
      <c r="G4375" s="6" t="s">
        <v>16</v>
      </c>
      <c r="H4375" s="5">
        <v>1</v>
      </c>
      <c r="I4375" s="6" t="s">
        <v>11391</v>
      </c>
      <c r="J4375" s="5">
        <v>265</v>
      </c>
    </row>
    <row r="4376" s="2" customFormat="1" spans="1:10">
      <c r="A4376" s="6">
        <f>4374</f>
        <v>4374</v>
      </c>
      <c r="B4376" s="6" t="s">
        <v>11392</v>
      </c>
      <c r="C4376" s="6" t="s">
        <v>12</v>
      </c>
      <c r="D4376" s="6" t="s">
        <v>9344</v>
      </c>
      <c r="E4376" s="6" t="s">
        <v>11172</v>
      </c>
      <c r="F4376" s="6" t="s">
        <v>11393</v>
      </c>
      <c r="G4376" s="6" t="s">
        <v>16</v>
      </c>
      <c r="H4376" s="5">
        <v>2</v>
      </c>
      <c r="I4376" s="6" t="s">
        <v>11394</v>
      </c>
      <c r="J4376" s="5">
        <v>400</v>
      </c>
    </row>
    <row r="4377" s="2" customFormat="1" spans="1:10">
      <c r="A4377" s="6">
        <f>4375</f>
        <v>4375</v>
      </c>
      <c r="B4377" s="6" t="s">
        <v>11395</v>
      </c>
      <c r="C4377" s="6" t="s">
        <v>12</v>
      </c>
      <c r="D4377" s="6" t="s">
        <v>9344</v>
      </c>
      <c r="E4377" s="6" t="s">
        <v>11172</v>
      </c>
      <c r="F4377" s="6" t="s">
        <v>11396</v>
      </c>
      <c r="G4377" s="6" t="s">
        <v>16</v>
      </c>
      <c r="H4377" s="5">
        <v>1</v>
      </c>
      <c r="I4377" s="6" t="s">
        <v>11396</v>
      </c>
      <c r="J4377" s="5">
        <v>295</v>
      </c>
    </row>
    <row r="4378" s="2" customFormat="1" spans="1:10">
      <c r="A4378" s="6">
        <f>4376</f>
        <v>4376</v>
      </c>
      <c r="B4378" s="6" t="s">
        <v>11397</v>
      </c>
      <c r="C4378" s="6" t="s">
        <v>12</v>
      </c>
      <c r="D4378" s="6" t="s">
        <v>9344</v>
      </c>
      <c r="E4378" s="6" t="s">
        <v>11172</v>
      </c>
      <c r="F4378" s="6" t="s">
        <v>11398</v>
      </c>
      <c r="G4378" s="6" t="s">
        <v>16</v>
      </c>
      <c r="H4378" s="5">
        <v>3</v>
      </c>
      <c r="I4378" s="6" t="s">
        <v>11399</v>
      </c>
      <c r="J4378" s="5">
        <v>620</v>
      </c>
    </row>
    <row r="4379" s="2" customFormat="1" spans="1:10">
      <c r="A4379" s="6">
        <f>4377</f>
        <v>4377</v>
      </c>
      <c r="B4379" s="6" t="s">
        <v>11400</v>
      </c>
      <c r="C4379" s="6" t="s">
        <v>12</v>
      </c>
      <c r="D4379" s="6" t="s">
        <v>9344</v>
      </c>
      <c r="E4379" s="6" t="s">
        <v>11172</v>
      </c>
      <c r="F4379" s="6" t="s">
        <v>11401</v>
      </c>
      <c r="G4379" s="6" t="s">
        <v>16</v>
      </c>
      <c r="H4379" s="5">
        <v>1</v>
      </c>
      <c r="I4379" s="6" t="s">
        <v>11401</v>
      </c>
      <c r="J4379" s="5">
        <v>368</v>
      </c>
    </row>
    <row r="4380" s="2" customFormat="1" spans="1:10">
      <c r="A4380" s="6">
        <f>4378</f>
        <v>4378</v>
      </c>
      <c r="B4380" s="6" t="s">
        <v>11402</v>
      </c>
      <c r="C4380" s="6" t="s">
        <v>12</v>
      </c>
      <c r="D4380" s="6" t="s">
        <v>9344</v>
      </c>
      <c r="E4380" s="6" t="s">
        <v>11172</v>
      </c>
      <c r="F4380" s="6" t="s">
        <v>11403</v>
      </c>
      <c r="G4380" s="6" t="s">
        <v>16</v>
      </c>
      <c r="H4380" s="5">
        <v>1</v>
      </c>
      <c r="I4380" s="6" t="s">
        <v>11403</v>
      </c>
      <c r="J4380" s="5">
        <v>460</v>
      </c>
    </row>
    <row r="4381" s="2" customFormat="1" spans="1:10">
      <c r="A4381" s="6">
        <f>4379</f>
        <v>4379</v>
      </c>
      <c r="B4381" s="6" t="s">
        <v>11404</v>
      </c>
      <c r="C4381" s="6" t="s">
        <v>12</v>
      </c>
      <c r="D4381" s="6" t="s">
        <v>9344</v>
      </c>
      <c r="E4381" s="6" t="s">
        <v>11172</v>
      </c>
      <c r="F4381" s="6" t="s">
        <v>11405</v>
      </c>
      <c r="G4381" s="6" t="s">
        <v>16</v>
      </c>
      <c r="H4381" s="5">
        <v>1</v>
      </c>
      <c r="I4381" s="6" t="s">
        <v>11405</v>
      </c>
      <c r="J4381" s="5">
        <v>265</v>
      </c>
    </row>
    <row r="4382" s="2" customFormat="1" spans="1:10">
      <c r="A4382" s="6">
        <f>4380</f>
        <v>4380</v>
      </c>
      <c r="B4382" s="6" t="s">
        <v>11406</v>
      </c>
      <c r="C4382" s="6" t="s">
        <v>12</v>
      </c>
      <c r="D4382" s="6" t="s">
        <v>9344</v>
      </c>
      <c r="E4382" s="6" t="s">
        <v>11172</v>
      </c>
      <c r="F4382" s="6" t="s">
        <v>11407</v>
      </c>
      <c r="G4382" s="6" t="s">
        <v>16</v>
      </c>
      <c r="H4382" s="5">
        <v>1</v>
      </c>
      <c r="I4382" s="6" t="s">
        <v>11407</v>
      </c>
      <c r="J4382" s="5">
        <v>540</v>
      </c>
    </row>
    <row r="4383" s="2" customFormat="1" spans="1:10">
      <c r="A4383" s="6">
        <f>4381</f>
        <v>4381</v>
      </c>
      <c r="B4383" s="6" t="s">
        <v>11408</v>
      </c>
      <c r="C4383" s="6" t="s">
        <v>12</v>
      </c>
      <c r="D4383" s="6" t="s">
        <v>9344</v>
      </c>
      <c r="E4383" s="6" t="s">
        <v>11172</v>
      </c>
      <c r="F4383" s="6" t="s">
        <v>11409</v>
      </c>
      <c r="G4383" s="6" t="s">
        <v>16</v>
      </c>
      <c r="H4383" s="5">
        <v>1</v>
      </c>
      <c r="I4383" s="6" t="s">
        <v>11409</v>
      </c>
      <c r="J4383" s="5">
        <v>405</v>
      </c>
    </row>
    <row r="4384" s="2" customFormat="1" ht="27" spans="1:10">
      <c r="A4384" s="6">
        <f>4382</f>
        <v>4382</v>
      </c>
      <c r="B4384" s="6" t="s">
        <v>11410</v>
      </c>
      <c r="C4384" s="6" t="s">
        <v>12</v>
      </c>
      <c r="D4384" s="6" t="s">
        <v>9344</v>
      </c>
      <c r="E4384" s="6" t="s">
        <v>11172</v>
      </c>
      <c r="F4384" s="6" t="s">
        <v>11411</v>
      </c>
      <c r="G4384" s="6" t="s">
        <v>16</v>
      </c>
      <c r="H4384" s="5">
        <v>6</v>
      </c>
      <c r="I4384" s="6" t="s">
        <v>11412</v>
      </c>
      <c r="J4384" s="5">
        <v>1322</v>
      </c>
    </row>
    <row r="4385" s="2" customFormat="1" spans="1:10">
      <c r="A4385" s="6">
        <f>4383</f>
        <v>4383</v>
      </c>
      <c r="B4385" s="6" t="s">
        <v>11413</v>
      </c>
      <c r="C4385" s="6" t="s">
        <v>12</v>
      </c>
      <c r="D4385" s="6" t="s">
        <v>9344</v>
      </c>
      <c r="E4385" s="6" t="s">
        <v>11172</v>
      </c>
      <c r="F4385" s="6" t="s">
        <v>11414</v>
      </c>
      <c r="G4385" s="6" t="s">
        <v>16</v>
      </c>
      <c r="H4385" s="5">
        <v>1</v>
      </c>
      <c r="I4385" s="6" t="s">
        <v>11414</v>
      </c>
      <c r="J4385" s="5">
        <v>243</v>
      </c>
    </row>
    <row r="4386" s="2" customFormat="1" spans="1:10">
      <c r="A4386" s="6">
        <f>4384</f>
        <v>4384</v>
      </c>
      <c r="B4386" s="6" t="s">
        <v>11415</v>
      </c>
      <c r="C4386" s="6" t="s">
        <v>12</v>
      </c>
      <c r="D4386" s="6" t="s">
        <v>9344</v>
      </c>
      <c r="E4386" s="6" t="s">
        <v>11172</v>
      </c>
      <c r="F4386" s="6" t="s">
        <v>11416</v>
      </c>
      <c r="G4386" s="6" t="s">
        <v>16</v>
      </c>
      <c r="H4386" s="5">
        <v>2</v>
      </c>
      <c r="I4386" s="6" t="s">
        <v>11417</v>
      </c>
      <c r="J4386" s="5">
        <v>566</v>
      </c>
    </row>
    <row r="4387" s="2" customFormat="1" spans="1:10">
      <c r="A4387" s="6">
        <f>4385</f>
        <v>4385</v>
      </c>
      <c r="B4387" s="6" t="s">
        <v>11418</v>
      </c>
      <c r="C4387" s="6" t="s">
        <v>12</v>
      </c>
      <c r="D4387" s="6" t="s">
        <v>9344</v>
      </c>
      <c r="E4387" s="6" t="s">
        <v>11172</v>
      </c>
      <c r="F4387" s="6" t="s">
        <v>11419</v>
      </c>
      <c r="G4387" s="6" t="s">
        <v>16</v>
      </c>
      <c r="H4387" s="5">
        <v>1</v>
      </c>
      <c r="I4387" s="6" t="s">
        <v>11419</v>
      </c>
      <c r="J4387" s="5">
        <v>540</v>
      </c>
    </row>
    <row r="4388" s="2" customFormat="1" spans="1:10">
      <c r="A4388" s="6">
        <f>4386</f>
        <v>4386</v>
      </c>
      <c r="B4388" s="6" t="s">
        <v>11420</v>
      </c>
      <c r="C4388" s="6" t="s">
        <v>12</v>
      </c>
      <c r="D4388" s="6" t="s">
        <v>9344</v>
      </c>
      <c r="E4388" s="6" t="s">
        <v>11172</v>
      </c>
      <c r="F4388" s="6" t="s">
        <v>11421</v>
      </c>
      <c r="G4388" s="6" t="s">
        <v>16</v>
      </c>
      <c r="H4388" s="5">
        <v>3</v>
      </c>
      <c r="I4388" s="6" t="s">
        <v>11422</v>
      </c>
      <c r="J4388" s="5">
        <v>794</v>
      </c>
    </row>
    <row r="4389" s="2" customFormat="1" spans="1:10">
      <c r="A4389" s="6">
        <f>4387</f>
        <v>4387</v>
      </c>
      <c r="B4389" s="6" t="s">
        <v>11423</v>
      </c>
      <c r="C4389" s="6" t="s">
        <v>12</v>
      </c>
      <c r="D4389" s="6" t="s">
        <v>9344</v>
      </c>
      <c r="E4389" s="6" t="s">
        <v>11172</v>
      </c>
      <c r="F4389" s="6" t="s">
        <v>11424</v>
      </c>
      <c r="G4389" s="6" t="s">
        <v>16</v>
      </c>
      <c r="H4389" s="5">
        <v>1</v>
      </c>
      <c r="I4389" s="6" t="s">
        <v>11424</v>
      </c>
      <c r="J4389" s="5">
        <v>345</v>
      </c>
    </row>
    <row r="4390" s="2" customFormat="1" spans="1:10">
      <c r="A4390" s="6">
        <f>4388</f>
        <v>4388</v>
      </c>
      <c r="B4390" s="6" t="s">
        <v>11425</v>
      </c>
      <c r="C4390" s="6" t="s">
        <v>12</v>
      </c>
      <c r="D4390" s="6" t="s">
        <v>9344</v>
      </c>
      <c r="E4390" s="6" t="s">
        <v>11172</v>
      </c>
      <c r="F4390" s="6" t="s">
        <v>11426</v>
      </c>
      <c r="G4390" s="6" t="s">
        <v>16</v>
      </c>
      <c r="H4390" s="5">
        <v>1</v>
      </c>
      <c r="I4390" s="6" t="s">
        <v>11426</v>
      </c>
      <c r="J4390" s="5">
        <v>540</v>
      </c>
    </row>
    <row r="4391" s="2" customFormat="1" spans="1:10">
      <c r="A4391" s="6">
        <f>4389</f>
        <v>4389</v>
      </c>
      <c r="B4391" s="6" t="s">
        <v>11427</v>
      </c>
      <c r="C4391" s="6" t="s">
        <v>12</v>
      </c>
      <c r="D4391" s="6" t="s">
        <v>9344</v>
      </c>
      <c r="E4391" s="6" t="s">
        <v>11172</v>
      </c>
      <c r="F4391" s="6" t="s">
        <v>11428</v>
      </c>
      <c r="G4391" s="6" t="s">
        <v>16</v>
      </c>
      <c r="H4391" s="5">
        <v>2</v>
      </c>
      <c r="I4391" s="6" t="s">
        <v>11429</v>
      </c>
      <c r="J4391" s="5">
        <v>476</v>
      </c>
    </row>
    <row r="4392" s="2" customFormat="1" spans="1:10">
      <c r="A4392" s="6">
        <f>4390</f>
        <v>4390</v>
      </c>
      <c r="B4392" s="6" t="s">
        <v>11430</v>
      </c>
      <c r="C4392" s="6" t="s">
        <v>12</v>
      </c>
      <c r="D4392" s="6" t="s">
        <v>9344</v>
      </c>
      <c r="E4392" s="6" t="s">
        <v>11172</v>
      </c>
      <c r="F4392" s="6" t="s">
        <v>11431</v>
      </c>
      <c r="G4392" s="6" t="s">
        <v>16</v>
      </c>
      <c r="H4392" s="5">
        <v>1</v>
      </c>
      <c r="I4392" s="6" t="s">
        <v>11431</v>
      </c>
      <c r="J4392" s="5">
        <v>265</v>
      </c>
    </row>
    <row r="4393" s="2" customFormat="1" spans="1:10">
      <c r="A4393" s="6">
        <f>4391</f>
        <v>4391</v>
      </c>
      <c r="B4393" s="6" t="s">
        <v>11432</v>
      </c>
      <c r="C4393" s="6" t="s">
        <v>12</v>
      </c>
      <c r="D4393" s="6" t="s">
        <v>9344</v>
      </c>
      <c r="E4393" s="6" t="s">
        <v>11172</v>
      </c>
      <c r="F4393" s="6" t="s">
        <v>11433</v>
      </c>
      <c r="G4393" s="6" t="s">
        <v>16</v>
      </c>
      <c r="H4393" s="5">
        <v>1</v>
      </c>
      <c r="I4393" s="6" t="s">
        <v>11433</v>
      </c>
      <c r="J4393" s="5">
        <v>243</v>
      </c>
    </row>
    <row r="4394" s="2" customFormat="1" spans="1:10">
      <c r="A4394" s="6">
        <f>4392</f>
        <v>4392</v>
      </c>
      <c r="B4394" s="6" t="s">
        <v>11434</v>
      </c>
      <c r="C4394" s="6" t="s">
        <v>12</v>
      </c>
      <c r="D4394" s="6" t="s">
        <v>9344</v>
      </c>
      <c r="E4394" s="6" t="s">
        <v>11172</v>
      </c>
      <c r="F4394" s="6" t="s">
        <v>11435</v>
      </c>
      <c r="G4394" s="6" t="s">
        <v>16</v>
      </c>
      <c r="H4394" s="5">
        <v>1</v>
      </c>
      <c r="I4394" s="6" t="s">
        <v>11435</v>
      </c>
      <c r="J4394" s="5">
        <v>270</v>
      </c>
    </row>
    <row r="4395" s="2" customFormat="1" ht="27" spans="1:10">
      <c r="A4395" s="6">
        <f>4393</f>
        <v>4393</v>
      </c>
      <c r="B4395" s="6" t="s">
        <v>11436</v>
      </c>
      <c r="C4395" s="6" t="s">
        <v>12</v>
      </c>
      <c r="D4395" s="6" t="s">
        <v>9344</v>
      </c>
      <c r="E4395" s="6" t="s">
        <v>11172</v>
      </c>
      <c r="F4395" s="6" t="s">
        <v>11437</v>
      </c>
      <c r="G4395" s="6" t="s">
        <v>16</v>
      </c>
      <c r="H4395" s="5">
        <v>4</v>
      </c>
      <c r="I4395" s="6" t="s">
        <v>11438</v>
      </c>
      <c r="J4395" s="5">
        <v>760</v>
      </c>
    </row>
    <row r="4396" s="2" customFormat="1" spans="1:10">
      <c r="A4396" s="6">
        <f>4394</f>
        <v>4394</v>
      </c>
      <c r="B4396" s="6" t="s">
        <v>11439</v>
      </c>
      <c r="C4396" s="6" t="s">
        <v>12</v>
      </c>
      <c r="D4396" s="6" t="s">
        <v>9344</v>
      </c>
      <c r="E4396" s="6" t="s">
        <v>11172</v>
      </c>
      <c r="F4396" s="6" t="s">
        <v>11440</v>
      </c>
      <c r="G4396" s="6" t="s">
        <v>16</v>
      </c>
      <c r="H4396" s="5">
        <v>3</v>
      </c>
      <c r="I4396" s="6" t="s">
        <v>11441</v>
      </c>
      <c r="J4396" s="5">
        <v>830</v>
      </c>
    </row>
    <row r="4397" s="2" customFormat="1" spans="1:10">
      <c r="A4397" s="6">
        <f>4395</f>
        <v>4395</v>
      </c>
      <c r="B4397" s="6" t="s">
        <v>11442</v>
      </c>
      <c r="C4397" s="6" t="s">
        <v>12</v>
      </c>
      <c r="D4397" s="6" t="s">
        <v>9344</v>
      </c>
      <c r="E4397" s="6" t="s">
        <v>11172</v>
      </c>
      <c r="F4397" s="6" t="s">
        <v>11443</v>
      </c>
      <c r="G4397" s="6" t="s">
        <v>16</v>
      </c>
      <c r="H4397" s="5">
        <v>1</v>
      </c>
      <c r="I4397" s="6" t="s">
        <v>11443</v>
      </c>
      <c r="J4397" s="5">
        <v>240</v>
      </c>
    </row>
    <row r="4398" s="2" customFormat="1" spans="1:10">
      <c r="A4398" s="6">
        <f>4396</f>
        <v>4396</v>
      </c>
      <c r="B4398" s="6" t="s">
        <v>11444</v>
      </c>
      <c r="C4398" s="6" t="s">
        <v>12</v>
      </c>
      <c r="D4398" s="6" t="s">
        <v>9344</v>
      </c>
      <c r="E4398" s="6" t="s">
        <v>11172</v>
      </c>
      <c r="F4398" s="6" t="s">
        <v>11445</v>
      </c>
      <c r="G4398" s="6" t="s">
        <v>16</v>
      </c>
      <c r="H4398" s="5">
        <v>1</v>
      </c>
      <c r="I4398" s="6" t="s">
        <v>11445</v>
      </c>
      <c r="J4398" s="5">
        <v>270</v>
      </c>
    </row>
    <row r="4399" s="2" customFormat="1" spans="1:10">
      <c r="A4399" s="6">
        <f>4397</f>
        <v>4397</v>
      </c>
      <c r="B4399" s="6" t="s">
        <v>11446</v>
      </c>
      <c r="C4399" s="6" t="s">
        <v>12</v>
      </c>
      <c r="D4399" s="6" t="s">
        <v>11447</v>
      </c>
      <c r="E4399" s="6" t="s">
        <v>11448</v>
      </c>
      <c r="F4399" s="6" t="s">
        <v>11449</v>
      </c>
      <c r="G4399" s="6" t="s">
        <v>16</v>
      </c>
      <c r="H4399" s="5">
        <v>2</v>
      </c>
      <c r="I4399" s="6" t="s">
        <v>11450</v>
      </c>
      <c r="J4399" s="5">
        <v>500</v>
      </c>
    </row>
    <row r="4400" s="2" customFormat="1" ht="27" spans="1:10">
      <c r="A4400" s="6">
        <f>4398</f>
        <v>4398</v>
      </c>
      <c r="B4400" s="6" t="s">
        <v>11451</v>
      </c>
      <c r="C4400" s="6" t="s">
        <v>12</v>
      </c>
      <c r="D4400" s="6" t="s">
        <v>11447</v>
      </c>
      <c r="E4400" s="6" t="s">
        <v>11448</v>
      </c>
      <c r="F4400" s="6" t="s">
        <v>11452</v>
      </c>
      <c r="G4400" s="6" t="s">
        <v>16</v>
      </c>
      <c r="H4400" s="5">
        <v>4</v>
      </c>
      <c r="I4400" s="6" t="s">
        <v>11453</v>
      </c>
      <c r="J4400" s="5">
        <v>1160</v>
      </c>
    </row>
    <row r="4401" s="2" customFormat="1" spans="1:10">
      <c r="A4401" s="6">
        <f>4399</f>
        <v>4399</v>
      </c>
      <c r="B4401" s="6" t="s">
        <v>11454</v>
      </c>
      <c r="C4401" s="6" t="s">
        <v>12</v>
      </c>
      <c r="D4401" s="6" t="s">
        <v>11447</v>
      </c>
      <c r="E4401" s="6" t="s">
        <v>11448</v>
      </c>
      <c r="F4401" s="6" t="s">
        <v>11455</v>
      </c>
      <c r="G4401" s="6" t="s">
        <v>16</v>
      </c>
      <c r="H4401" s="5">
        <v>3</v>
      </c>
      <c r="I4401" s="6" t="s">
        <v>11456</v>
      </c>
      <c r="J4401" s="5">
        <v>720</v>
      </c>
    </row>
    <row r="4402" s="2" customFormat="1" spans="1:10">
      <c r="A4402" s="6">
        <f>4400</f>
        <v>4400</v>
      </c>
      <c r="B4402" s="6" t="s">
        <v>11457</v>
      </c>
      <c r="C4402" s="6" t="s">
        <v>12</v>
      </c>
      <c r="D4402" s="6" t="s">
        <v>11447</v>
      </c>
      <c r="E4402" s="6" t="s">
        <v>11448</v>
      </c>
      <c r="F4402" s="6" t="s">
        <v>11458</v>
      </c>
      <c r="G4402" s="6" t="s">
        <v>16</v>
      </c>
      <c r="H4402" s="5">
        <v>1</v>
      </c>
      <c r="I4402" s="6" t="s">
        <v>11458</v>
      </c>
      <c r="J4402" s="5">
        <v>270</v>
      </c>
    </row>
    <row r="4403" s="2" customFormat="1" ht="27" spans="1:10">
      <c r="A4403" s="6">
        <f>4401</f>
        <v>4401</v>
      </c>
      <c r="B4403" s="6" t="s">
        <v>11459</v>
      </c>
      <c r="C4403" s="6" t="s">
        <v>12</v>
      </c>
      <c r="D4403" s="6" t="s">
        <v>11447</v>
      </c>
      <c r="E4403" s="6" t="s">
        <v>11448</v>
      </c>
      <c r="F4403" s="6" t="s">
        <v>11460</v>
      </c>
      <c r="G4403" s="6" t="s">
        <v>16</v>
      </c>
      <c r="H4403" s="5">
        <v>5</v>
      </c>
      <c r="I4403" s="6" t="s">
        <v>11461</v>
      </c>
      <c r="J4403" s="5">
        <v>1000</v>
      </c>
    </row>
    <row r="4404" s="2" customFormat="1" spans="1:10">
      <c r="A4404" s="6">
        <f>4402</f>
        <v>4402</v>
      </c>
      <c r="B4404" s="6" t="s">
        <v>11462</v>
      </c>
      <c r="C4404" s="6" t="s">
        <v>12</v>
      </c>
      <c r="D4404" s="6" t="s">
        <v>11447</v>
      </c>
      <c r="E4404" s="6" t="s">
        <v>11448</v>
      </c>
      <c r="F4404" s="6" t="s">
        <v>11463</v>
      </c>
      <c r="G4404" s="6" t="s">
        <v>16</v>
      </c>
      <c r="H4404" s="5">
        <v>2</v>
      </c>
      <c r="I4404" s="6" t="s">
        <v>11464</v>
      </c>
      <c r="J4404" s="5">
        <v>600</v>
      </c>
    </row>
    <row r="4405" s="2" customFormat="1" spans="1:10">
      <c r="A4405" s="6">
        <f>4403</f>
        <v>4403</v>
      </c>
      <c r="B4405" s="6" t="s">
        <v>11465</v>
      </c>
      <c r="C4405" s="6" t="s">
        <v>12</v>
      </c>
      <c r="D4405" s="6" t="s">
        <v>11447</v>
      </c>
      <c r="E4405" s="6" t="s">
        <v>11448</v>
      </c>
      <c r="F4405" s="6" t="s">
        <v>11466</v>
      </c>
      <c r="G4405" s="6" t="s">
        <v>16</v>
      </c>
      <c r="H4405" s="5">
        <v>3</v>
      </c>
      <c r="I4405" s="6" t="s">
        <v>11467</v>
      </c>
      <c r="J4405" s="5">
        <v>510</v>
      </c>
    </row>
    <row r="4406" s="2" customFormat="1" spans="1:10">
      <c r="A4406" s="6">
        <f>4404</f>
        <v>4404</v>
      </c>
      <c r="B4406" s="6" t="s">
        <v>11468</v>
      </c>
      <c r="C4406" s="6" t="s">
        <v>12</v>
      </c>
      <c r="D4406" s="6" t="s">
        <v>11447</v>
      </c>
      <c r="E4406" s="6" t="s">
        <v>11448</v>
      </c>
      <c r="F4406" s="6" t="s">
        <v>11469</v>
      </c>
      <c r="G4406" s="6" t="s">
        <v>16</v>
      </c>
      <c r="H4406" s="5">
        <v>3</v>
      </c>
      <c r="I4406" s="6" t="s">
        <v>11470</v>
      </c>
      <c r="J4406" s="5">
        <v>578</v>
      </c>
    </row>
    <row r="4407" s="2" customFormat="1" spans="1:10">
      <c r="A4407" s="6">
        <f>4405</f>
        <v>4405</v>
      </c>
      <c r="B4407" s="6" t="s">
        <v>11471</v>
      </c>
      <c r="C4407" s="6" t="s">
        <v>12</v>
      </c>
      <c r="D4407" s="6" t="s">
        <v>11447</v>
      </c>
      <c r="E4407" s="6" t="s">
        <v>11448</v>
      </c>
      <c r="F4407" s="6" t="s">
        <v>11472</v>
      </c>
      <c r="G4407" s="6" t="s">
        <v>16</v>
      </c>
      <c r="H4407" s="5">
        <v>1</v>
      </c>
      <c r="I4407" s="6" t="s">
        <v>11472</v>
      </c>
      <c r="J4407" s="5">
        <v>270</v>
      </c>
    </row>
    <row r="4408" s="2" customFormat="1" spans="1:10">
      <c r="A4408" s="6">
        <f>4406</f>
        <v>4406</v>
      </c>
      <c r="B4408" s="6" t="s">
        <v>11473</v>
      </c>
      <c r="C4408" s="6" t="s">
        <v>12</v>
      </c>
      <c r="D4408" s="6" t="s">
        <v>11447</v>
      </c>
      <c r="E4408" s="6" t="s">
        <v>11448</v>
      </c>
      <c r="F4408" s="6" t="s">
        <v>11474</v>
      </c>
      <c r="G4408" s="6" t="s">
        <v>16</v>
      </c>
      <c r="H4408" s="5">
        <v>2</v>
      </c>
      <c r="I4408" s="6" t="s">
        <v>11475</v>
      </c>
      <c r="J4408" s="5">
        <v>1160</v>
      </c>
    </row>
    <row r="4409" s="2" customFormat="1" spans="1:10">
      <c r="A4409" s="6">
        <f>4407</f>
        <v>4407</v>
      </c>
      <c r="B4409" s="6" t="s">
        <v>11476</v>
      </c>
      <c r="C4409" s="6" t="s">
        <v>12</v>
      </c>
      <c r="D4409" s="6" t="s">
        <v>11447</v>
      </c>
      <c r="E4409" s="6" t="s">
        <v>11448</v>
      </c>
      <c r="F4409" s="6" t="s">
        <v>11477</v>
      </c>
      <c r="G4409" s="6" t="s">
        <v>16</v>
      </c>
      <c r="H4409" s="5">
        <v>1</v>
      </c>
      <c r="I4409" s="6" t="s">
        <v>11477</v>
      </c>
      <c r="J4409" s="5">
        <v>270</v>
      </c>
    </row>
    <row r="4410" s="2" customFormat="1" ht="27" spans="1:10">
      <c r="A4410" s="6">
        <f>4408</f>
        <v>4408</v>
      </c>
      <c r="B4410" s="6" t="s">
        <v>11478</v>
      </c>
      <c r="C4410" s="6" t="s">
        <v>12</v>
      </c>
      <c r="D4410" s="6" t="s">
        <v>11447</v>
      </c>
      <c r="E4410" s="6" t="s">
        <v>11448</v>
      </c>
      <c r="F4410" s="6" t="s">
        <v>11479</v>
      </c>
      <c r="G4410" s="6" t="s">
        <v>16</v>
      </c>
      <c r="H4410" s="5">
        <v>4</v>
      </c>
      <c r="I4410" s="6" t="s">
        <v>11480</v>
      </c>
      <c r="J4410" s="5">
        <v>840</v>
      </c>
    </row>
    <row r="4411" s="2" customFormat="1" spans="1:10">
      <c r="A4411" s="6">
        <f>4409</f>
        <v>4409</v>
      </c>
      <c r="B4411" s="6" t="s">
        <v>11481</v>
      </c>
      <c r="C4411" s="6" t="s">
        <v>12</v>
      </c>
      <c r="D4411" s="6" t="s">
        <v>11447</v>
      </c>
      <c r="E4411" s="6" t="s">
        <v>11448</v>
      </c>
      <c r="F4411" s="6" t="s">
        <v>11482</v>
      </c>
      <c r="G4411" s="6" t="s">
        <v>16</v>
      </c>
      <c r="H4411" s="5">
        <v>1</v>
      </c>
      <c r="I4411" s="6" t="s">
        <v>11482</v>
      </c>
      <c r="J4411" s="5">
        <v>363</v>
      </c>
    </row>
    <row r="4412" s="2" customFormat="1" spans="1:10">
      <c r="A4412" s="6">
        <f>4410</f>
        <v>4410</v>
      </c>
      <c r="B4412" s="6" t="s">
        <v>11483</v>
      </c>
      <c r="C4412" s="6" t="s">
        <v>12</v>
      </c>
      <c r="D4412" s="6" t="s">
        <v>11447</v>
      </c>
      <c r="E4412" s="6" t="s">
        <v>11448</v>
      </c>
      <c r="F4412" s="6" t="s">
        <v>11484</v>
      </c>
      <c r="G4412" s="6" t="s">
        <v>16</v>
      </c>
      <c r="H4412" s="5">
        <v>1</v>
      </c>
      <c r="I4412" s="6" t="s">
        <v>11484</v>
      </c>
      <c r="J4412" s="5">
        <v>320</v>
      </c>
    </row>
    <row r="4413" s="2" customFormat="1" spans="1:10">
      <c r="A4413" s="6">
        <f>4411</f>
        <v>4411</v>
      </c>
      <c r="B4413" s="6" t="s">
        <v>11485</v>
      </c>
      <c r="C4413" s="6" t="s">
        <v>12</v>
      </c>
      <c r="D4413" s="6" t="s">
        <v>11447</v>
      </c>
      <c r="E4413" s="6" t="s">
        <v>11448</v>
      </c>
      <c r="F4413" s="6" t="s">
        <v>11486</v>
      </c>
      <c r="G4413" s="6" t="s">
        <v>16</v>
      </c>
      <c r="H4413" s="5">
        <v>1</v>
      </c>
      <c r="I4413" s="6" t="s">
        <v>11486</v>
      </c>
      <c r="J4413" s="5">
        <v>238</v>
      </c>
    </row>
    <row r="4414" s="2" customFormat="1" spans="1:10">
      <c r="A4414" s="6">
        <f>4412</f>
        <v>4412</v>
      </c>
      <c r="B4414" s="6" t="s">
        <v>11487</v>
      </c>
      <c r="C4414" s="6" t="s">
        <v>12</v>
      </c>
      <c r="D4414" s="6" t="s">
        <v>11447</v>
      </c>
      <c r="E4414" s="6" t="s">
        <v>11448</v>
      </c>
      <c r="F4414" s="6" t="s">
        <v>11488</v>
      </c>
      <c r="G4414" s="6" t="s">
        <v>16</v>
      </c>
      <c r="H4414" s="5">
        <v>1</v>
      </c>
      <c r="I4414" s="6" t="s">
        <v>11488</v>
      </c>
      <c r="J4414" s="5">
        <v>260</v>
      </c>
    </row>
    <row r="4415" s="2" customFormat="1" ht="27" spans="1:10">
      <c r="A4415" s="6">
        <f>4413</f>
        <v>4413</v>
      </c>
      <c r="B4415" s="6" t="s">
        <v>11489</v>
      </c>
      <c r="C4415" s="6" t="s">
        <v>12</v>
      </c>
      <c r="D4415" s="6" t="s">
        <v>11447</v>
      </c>
      <c r="E4415" s="6" t="s">
        <v>11448</v>
      </c>
      <c r="F4415" s="6" t="s">
        <v>9785</v>
      </c>
      <c r="G4415" s="6" t="s">
        <v>16</v>
      </c>
      <c r="H4415" s="5">
        <v>4</v>
      </c>
      <c r="I4415" s="6" t="s">
        <v>11490</v>
      </c>
      <c r="J4415" s="5">
        <v>840</v>
      </c>
    </row>
    <row r="4416" s="2" customFormat="1" spans="1:10">
      <c r="A4416" s="6">
        <f>4414</f>
        <v>4414</v>
      </c>
      <c r="B4416" s="6" t="s">
        <v>11491</v>
      </c>
      <c r="C4416" s="6" t="s">
        <v>12</v>
      </c>
      <c r="D4416" s="6" t="s">
        <v>11447</v>
      </c>
      <c r="E4416" s="6" t="s">
        <v>11448</v>
      </c>
      <c r="F4416" s="6" t="s">
        <v>11492</v>
      </c>
      <c r="G4416" s="6" t="s">
        <v>16</v>
      </c>
      <c r="H4416" s="5">
        <v>1</v>
      </c>
      <c r="I4416" s="6" t="s">
        <v>11492</v>
      </c>
      <c r="J4416" s="5">
        <v>273</v>
      </c>
    </row>
    <row r="4417" s="2" customFormat="1" spans="1:10">
      <c r="A4417" s="6">
        <f>4415</f>
        <v>4415</v>
      </c>
      <c r="B4417" s="6" t="s">
        <v>11493</v>
      </c>
      <c r="C4417" s="6" t="s">
        <v>12</v>
      </c>
      <c r="D4417" s="6" t="s">
        <v>11447</v>
      </c>
      <c r="E4417" s="6" t="s">
        <v>11448</v>
      </c>
      <c r="F4417" s="6" t="s">
        <v>11494</v>
      </c>
      <c r="G4417" s="6" t="s">
        <v>16</v>
      </c>
      <c r="H4417" s="5">
        <v>1</v>
      </c>
      <c r="I4417" s="6" t="s">
        <v>11494</v>
      </c>
      <c r="J4417" s="5">
        <v>260</v>
      </c>
    </row>
    <row r="4418" s="2" customFormat="1" spans="1:10">
      <c r="A4418" s="6">
        <f>4416</f>
        <v>4416</v>
      </c>
      <c r="B4418" s="6" t="s">
        <v>11495</v>
      </c>
      <c r="C4418" s="6" t="s">
        <v>12</v>
      </c>
      <c r="D4418" s="6" t="s">
        <v>11447</v>
      </c>
      <c r="E4418" s="6" t="s">
        <v>11448</v>
      </c>
      <c r="F4418" s="6" t="s">
        <v>11496</v>
      </c>
      <c r="G4418" s="6" t="s">
        <v>16</v>
      </c>
      <c r="H4418" s="5">
        <v>1</v>
      </c>
      <c r="I4418" s="6" t="s">
        <v>11496</v>
      </c>
      <c r="J4418" s="5">
        <v>243</v>
      </c>
    </row>
    <row r="4419" s="2" customFormat="1" spans="1:10">
      <c r="A4419" s="6">
        <f>4417</f>
        <v>4417</v>
      </c>
      <c r="B4419" s="6" t="s">
        <v>11497</v>
      </c>
      <c r="C4419" s="6" t="s">
        <v>12</v>
      </c>
      <c r="D4419" s="6" t="s">
        <v>11447</v>
      </c>
      <c r="E4419" s="6" t="s">
        <v>11448</v>
      </c>
      <c r="F4419" s="6" t="s">
        <v>11498</v>
      </c>
      <c r="G4419" s="6" t="s">
        <v>16</v>
      </c>
      <c r="H4419" s="5">
        <v>1</v>
      </c>
      <c r="I4419" s="6" t="s">
        <v>11498</v>
      </c>
      <c r="J4419" s="5">
        <v>400</v>
      </c>
    </row>
    <row r="4420" s="2" customFormat="1" spans="1:10">
      <c r="A4420" s="6">
        <f>4418</f>
        <v>4418</v>
      </c>
      <c r="B4420" s="6" t="s">
        <v>11499</v>
      </c>
      <c r="C4420" s="6" t="s">
        <v>12</v>
      </c>
      <c r="D4420" s="6" t="s">
        <v>11447</v>
      </c>
      <c r="E4420" s="6" t="s">
        <v>11448</v>
      </c>
      <c r="F4420" s="6" t="s">
        <v>11500</v>
      </c>
      <c r="G4420" s="6" t="s">
        <v>16</v>
      </c>
      <c r="H4420" s="5">
        <v>2</v>
      </c>
      <c r="I4420" s="6" t="s">
        <v>11501</v>
      </c>
      <c r="J4420" s="5">
        <v>325</v>
      </c>
    </row>
    <row r="4421" s="2" customFormat="1" spans="1:10">
      <c r="A4421" s="6">
        <f>4419</f>
        <v>4419</v>
      </c>
      <c r="B4421" s="6" t="s">
        <v>11502</v>
      </c>
      <c r="C4421" s="6" t="s">
        <v>12</v>
      </c>
      <c r="D4421" s="6" t="s">
        <v>11447</v>
      </c>
      <c r="E4421" s="6" t="s">
        <v>11448</v>
      </c>
      <c r="F4421" s="6" t="s">
        <v>11503</v>
      </c>
      <c r="G4421" s="6" t="s">
        <v>16</v>
      </c>
      <c r="H4421" s="5">
        <v>2</v>
      </c>
      <c r="I4421" s="6" t="s">
        <v>11504</v>
      </c>
      <c r="J4421" s="5">
        <v>830</v>
      </c>
    </row>
    <row r="4422" s="2" customFormat="1" spans="1:10">
      <c r="A4422" s="6">
        <f>4420</f>
        <v>4420</v>
      </c>
      <c r="B4422" s="6" t="s">
        <v>11505</v>
      </c>
      <c r="C4422" s="6" t="s">
        <v>12</v>
      </c>
      <c r="D4422" s="6" t="s">
        <v>11447</v>
      </c>
      <c r="E4422" s="6" t="s">
        <v>11448</v>
      </c>
      <c r="F4422" s="6" t="s">
        <v>11506</v>
      </c>
      <c r="G4422" s="6" t="s">
        <v>16</v>
      </c>
      <c r="H4422" s="5">
        <v>2</v>
      </c>
      <c r="I4422" s="6" t="s">
        <v>11507</v>
      </c>
      <c r="J4422" s="5">
        <v>420</v>
      </c>
    </row>
    <row r="4423" s="2" customFormat="1" spans="1:10">
      <c r="A4423" s="6">
        <f>4421</f>
        <v>4421</v>
      </c>
      <c r="B4423" s="6" t="s">
        <v>11508</v>
      </c>
      <c r="C4423" s="6" t="s">
        <v>12</v>
      </c>
      <c r="D4423" s="6" t="s">
        <v>11447</v>
      </c>
      <c r="E4423" s="6" t="s">
        <v>11448</v>
      </c>
      <c r="F4423" s="6" t="s">
        <v>11509</v>
      </c>
      <c r="G4423" s="6" t="s">
        <v>16</v>
      </c>
      <c r="H4423" s="5">
        <v>1</v>
      </c>
      <c r="I4423" s="6" t="s">
        <v>11509</v>
      </c>
      <c r="J4423" s="5">
        <v>238</v>
      </c>
    </row>
    <row r="4424" s="2" customFormat="1" ht="27" spans="1:10">
      <c r="A4424" s="6">
        <f>4422</f>
        <v>4422</v>
      </c>
      <c r="B4424" s="6" t="s">
        <v>11510</v>
      </c>
      <c r="C4424" s="6" t="s">
        <v>12</v>
      </c>
      <c r="D4424" s="6" t="s">
        <v>11447</v>
      </c>
      <c r="E4424" s="6" t="s">
        <v>11448</v>
      </c>
      <c r="F4424" s="6" t="s">
        <v>11511</v>
      </c>
      <c r="G4424" s="6" t="s">
        <v>16</v>
      </c>
      <c r="H4424" s="5">
        <v>5</v>
      </c>
      <c r="I4424" s="6" t="s">
        <v>11512</v>
      </c>
      <c r="J4424" s="5">
        <v>924</v>
      </c>
    </row>
    <row r="4425" s="2" customFormat="1" spans="1:10">
      <c r="A4425" s="6">
        <f>4423</f>
        <v>4423</v>
      </c>
      <c r="B4425" s="6" t="s">
        <v>11513</v>
      </c>
      <c r="C4425" s="6" t="s">
        <v>12</v>
      </c>
      <c r="D4425" s="6" t="s">
        <v>11447</v>
      </c>
      <c r="E4425" s="6" t="s">
        <v>11448</v>
      </c>
      <c r="F4425" s="6" t="s">
        <v>11514</v>
      </c>
      <c r="G4425" s="6" t="s">
        <v>16</v>
      </c>
      <c r="H4425" s="5">
        <v>2</v>
      </c>
      <c r="I4425" s="6" t="s">
        <v>11515</v>
      </c>
      <c r="J4425" s="5">
        <v>480</v>
      </c>
    </row>
    <row r="4426" s="2" customFormat="1" spans="1:10">
      <c r="A4426" s="6">
        <f>4424</f>
        <v>4424</v>
      </c>
      <c r="B4426" s="6" t="s">
        <v>11516</v>
      </c>
      <c r="C4426" s="6" t="s">
        <v>12</v>
      </c>
      <c r="D4426" s="6" t="s">
        <v>11447</v>
      </c>
      <c r="E4426" s="6" t="s">
        <v>11448</v>
      </c>
      <c r="F4426" s="6" t="s">
        <v>11517</v>
      </c>
      <c r="G4426" s="6" t="s">
        <v>16</v>
      </c>
      <c r="H4426" s="5">
        <v>3</v>
      </c>
      <c r="I4426" s="6" t="s">
        <v>11518</v>
      </c>
      <c r="J4426" s="5">
        <v>780</v>
      </c>
    </row>
    <row r="4427" s="2" customFormat="1" spans="1:10">
      <c r="A4427" s="6">
        <f>4425</f>
        <v>4425</v>
      </c>
      <c r="B4427" s="6" t="s">
        <v>11519</v>
      </c>
      <c r="C4427" s="6" t="s">
        <v>12</v>
      </c>
      <c r="D4427" s="6" t="s">
        <v>11447</v>
      </c>
      <c r="E4427" s="6" t="s">
        <v>11448</v>
      </c>
      <c r="F4427" s="6" t="s">
        <v>11520</v>
      </c>
      <c r="G4427" s="6" t="s">
        <v>16</v>
      </c>
      <c r="H4427" s="5">
        <v>2</v>
      </c>
      <c r="I4427" s="6" t="s">
        <v>11521</v>
      </c>
      <c r="J4427" s="5">
        <v>330</v>
      </c>
    </row>
    <row r="4428" s="2" customFormat="1" ht="40.5" spans="1:10">
      <c r="A4428" s="6">
        <f>4426</f>
        <v>4426</v>
      </c>
      <c r="B4428" s="6" t="s">
        <v>11522</v>
      </c>
      <c r="C4428" s="6" t="s">
        <v>12</v>
      </c>
      <c r="D4428" s="6" t="s">
        <v>11447</v>
      </c>
      <c r="E4428" s="6" t="s">
        <v>11448</v>
      </c>
      <c r="F4428" s="6" t="s">
        <v>11523</v>
      </c>
      <c r="G4428" s="6" t="s">
        <v>16</v>
      </c>
      <c r="H4428" s="5">
        <v>7</v>
      </c>
      <c r="I4428" s="6" t="s">
        <v>11524</v>
      </c>
      <c r="J4428" s="5">
        <v>700</v>
      </c>
    </row>
    <row r="4429" s="2" customFormat="1" spans="1:10">
      <c r="A4429" s="6">
        <f>4427</f>
        <v>4427</v>
      </c>
      <c r="B4429" s="6" t="s">
        <v>11525</v>
      </c>
      <c r="C4429" s="6" t="s">
        <v>12</v>
      </c>
      <c r="D4429" s="6" t="s">
        <v>11447</v>
      </c>
      <c r="E4429" s="6" t="s">
        <v>11448</v>
      </c>
      <c r="F4429" s="6" t="s">
        <v>11526</v>
      </c>
      <c r="G4429" s="6" t="s">
        <v>16</v>
      </c>
      <c r="H4429" s="5">
        <v>3</v>
      </c>
      <c r="I4429" s="6" t="s">
        <v>11527</v>
      </c>
      <c r="J4429" s="5">
        <v>660</v>
      </c>
    </row>
    <row r="4430" s="2" customFormat="1" spans="1:10">
      <c r="A4430" s="6">
        <f>4428</f>
        <v>4428</v>
      </c>
      <c r="B4430" s="6" t="s">
        <v>11528</v>
      </c>
      <c r="C4430" s="6" t="s">
        <v>12</v>
      </c>
      <c r="D4430" s="6" t="s">
        <v>11447</v>
      </c>
      <c r="E4430" s="6" t="s">
        <v>11448</v>
      </c>
      <c r="F4430" s="6" t="s">
        <v>11529</v>
      </c>
      <c r="G4430" s="6" t="s">
        <v>16</v>
      </c>
      <c r="H4430" s="5">
        <v>1</v>
      </c>
      <c r="I4430" s="6" t="s">
        <v>11529</v>
      </c>
      <c r="J4430" s="5">
        <v>570</v>
      </c>
    </row>
    <row r="4431" s="2" customFormat="1" spans="1:10">
      <c r="A4431" s="6">
        <f>4429</f>
        <v>4429</v>
      </c>
      <c r="B4431" s="6" t="s">
        <v>11530</v>
      </c>
      <c r="C4431" s="6" t="s">
        <v>12</v>
      </c>
      <c r="D4431" s="6" t="s">
        <v>11447</v>
      </c>
      <c r="E4431" s="6" t="s">
        <v>11448</v>
      </c>
      <c r="F4431" s="6" t="s">
        <v>11531</v>
      </c>
      <c r="G4431" s="6" t="s">
        <v>16</v>
      </c>
      <c r="H4431" s="5">
        <v>1</v>
      </c>
      <c r="I4431" s="6" t="s">
        <v>11531</v>
      </c>
      <c r="J4431" s="5">
        <v>260</v>
      </c>
    </row>
    <row r="4432" s="2" customFormat="1" spans="1:10">
      <c r="A4432" s="6">
        <f>4430</f>
        <v>4430</v>
      </c>
      <c r="B4432" s="6" t="s">
        <v>11532</v>
      </c>
      <c r="C4432" s="6" t="s">
        <v>12</v>
      </c>
      <c r="D4432" s="6" t="s">
        <v>11447</v>
      </c>
      <c r="E4432" s="6" t="s">
        <v>11448</v>
      </c>
      <c r="F4432" s="6" t="s">
        <v>11533</v>
      </c>
      <c r="G4432" s="6" t="s">
        <v>16</v>
      </c>
      <c r="H4432" s="5">
        <v>1</v>
      </c>
      <c r="I4432" s="6" t="s">
        <v>11533</v>
      </c>
      <c r="J4432" s="5">
        <v>238</v>
      </c>
    </row>
    <row r="4433" s="2" customFormat="1" ht="27" spans="1:10">
      <c r="A4433" s="6">
        <f>4431</f>
        <v>4431</v>
      </c>
      <c r="B4433" s="6" t="s">
        <v>11534</v>
      </c>
      <c r="C4433" s="6" t="s">
        <v>12</v>
      </c>
      <c r="D4433" s="6" t="s">
        <v>11447</v>
      </c>
      <c r="E4433" s="6" t="s">
        <v>11448</v>
      </c>
      <c r="F4433" s="6" t="s">
        <v>11535</v>
      </c>
      <c r="G4433" s="6" t="s">
        <v>16</v>
      </c>
      <c r="H4433" s="5">
        <v>4</v>
      </c>
      <c r="I4433" s="6" t="s">
        <v>11536</v>
      </c>
      <c r="J4433" s="5">
        <v>1082</v>
      </c>
    </row>
    <row r="4434" s="2" customFormat="1" spans="1:10">
      <c r="A4434" s="6">
        <f>4432</f>
        <v>4432</v>
      </c>
      <c r="B4434" s="6" t="s">
        <v>11537</v>
      </c>
      <c r="C4434" s="6" t="s">
        <v>12</v>
      </c>
      <c r="D4434" s="6" t="s">
        <v>11447</v>
      </c>
      <c r="E4434" s="6" t="s">
        <v>11448</v>
      </c>
      <c r="F4434" s="6" t="s">
        <v>11538</v>
      </c>
      <c r="G4434" s="6" t="s">
        <v>16</v>
      </c>
      <c r="H4434" s="5">
        <v>1</v>
      </c>
      <c r="I4434" s="6" t="s">
        <v>11538</v>
      </c>
      <c r="J4434" s="5">
        <v>265</v>
      </c>
    </row>
    <row r="4435" s="2" customFormat="1" spans="1:10">
      <c r="A4435" s="6">
        <f>4433</f>
        <v>4433</v>
      </c>
      <c r="B4435" s="6" t="s">
        <v>11539</v>
      </c>
      <c r="C4435" s="6" t="s">
        <v>12</v>
      </c>
      <c r="D4435" s="6" t="s">
        <v>11447</v>
      </c>
      <c r="E4435" s="6" t="s">
        <v>11448</v>
      </c>
      <c r="F4435" s="6" t="s">
        <v>11540</v>
      </c>
      <c r="G4435" s="6" t="s">
        <v>16</v>
      </c>
      <c r="H4435" s="5">
        <v>1</v>
      </c>
      <c r="I4435" s="6" t="s">
        <v>11540</v>
      </c>
      <c r="J4435" s="5">
        <v>243</v>
      </c>
    </row>
    <row r="4436" s="2" customFormat="1" spans="1:10">
      <c r="A4436" s="6">
        <f>4434</f>
        <v>4434</v>
      </c>
      <c r="B4436" s="6" t="s">
        <v>11541</v>
      </c>
      <c r="C4436" s="6" t="s">
        <v>12</v>
      </c>
      <c r="D4436" s="6" t="s">
        <v>11447</v>
      </c>
      <c r="E4436" s="6" t="s">
        <v>11448</v>
      </c>
      <c r="F4436" s="6" t="s">
        <v>11542</v>
      </c>
      <c r="G4436" s="6" t="s">
        <v>16</v>
      </c>
      <c r="H4436" s="5">
        <v>2</v>
      </c>
      <c r="I4436" s="6" t="s">
        <v>11543</v>
      </c>
      <c r="J4436" s="5">
        <v>640</v>
      </c>
    </row>
    <row r="4437" s="2" customFormat="1" spans="1:10">
      <c r="A4437" s="6">
        <f>4435</f>
        <v>4435</v>
      </c>
      <c r="B4437" s="6" t="s">
        <v>11544</v>
      </c>
      <c r="C4437" s="6" t="s">
        <v>12</v>
      </c>
      <c r="D4437" s="6" t="s">
        <v>11447</v>
      </c>
      <c r="E4437" s="6" t="s">
        <v>11448</v>
      </c>
      <c r="F4437" s="6" t="s">
        <v>11545</v>
      </c>
      <c r="G4437" s="6" t="s">
        <v>16</v>
      </c>
      <c r="H4437" s="5">
        <v>1</v>
      </c>
      <c r="I4437" s="6" t="s">
        <v>11545</v>
      </c>
      <c r="J4437" s="5">
        <v>265</v>
      </c>
    </row>
    <row r="4438" s="2" customFormat="1" spans="1:10">
      <c r="A4438" s="6">
        <f>4436</f>
        <v>4436</v>
      </c>
      <c r="B4438" s="6" t="s">
        <v>11546</v>
      </c>
      <c r="C4438" s="6" t="s">
        <v>12</v>
      </c>
      <c r="D4438" s="6" t="s">
        <v>11447</v>
      </c>
      <c r="E4438" s="6" t="s">
        <v>11448</v>
      </c>
      <c r="F4438" s="6" t="s">
        <v>11547</v>
      </c>
      <c r="G4438" s="6" t="s">
        <v>16</v>
      </c>
      <c r="H4438" s="5">
        <v>1</v>
      </c>
      <c r="I4438" s="6" t="s">
        <v>11547</v>
      </c>
      <c r="J4438" s="5">
        <v>240</v>
      </c>
    </row>
    <row r="4439" s="2" customFormat="1" spans="1:10">
      <c r="A4439" s="6">
        <f>4437</f>
        <v>4437</v>
      </c>
      <c r="B4439" s="6" t="s">
        <v>11548</v>
      </c>
      <c r="C4439" s="6" t="s">
        <v>12</v>
      </c>
      <c r="D4439" s="6" t="s">
        <v>11447</v>
      </c>
      <c r="E4439" s="6" t="s">
        <v>11448</v>
      </c>
      <c r="F4439" s="6" t="s">
        <v>11549</v>
      </c>
      <c r="G4439" s="6" t="s">
        <v>16</v>
      </c>
      <c r="H4439" s="5">
        <v>3</v>
      </c>
      <c r="I4439" s="6" t="s">
        <v>11550</v>
      </c>
      <c r="J4439" s="5">
        <v>550</v>
      </c>
    </row>
    <row r="4440" s="2" customFormat="1" spans="1:10">
      <c r="A4440" s="6">
        <f>4438</f>
        <v>4438</v>
      </c>
      <c r="B4440" s="6" t="s">
        <v>11551</v>
      </c>
      <c r="C4440" s="6" t="s">
        <v>12</v>
      </c>
      <c r="D4440" s="6" t="s">
        <v>11447</v>
      </c>
      <c r="E4440" s="6" t="s">
        <v>11448</v>
      </c>
      <c r="F4440" s="6" t="s">
        <v>11552</v>
      </c>
      <c r="G4440" s="6" t="s">
        <v>16</v>
      </c>
      <c r="H4440" s="5">
        <v>2</v>
      </c>
      <c r="I4440" s="6" t="s">
        <v>11553</v>
      </c>
      <c r="J4440" s="5">
        <v>520</v>
      </c>
    </row>
    <row r="4441" s="2" customFormat="1" ht="27" spans="1:10">
      <c r="A4441" s="6">
        <f>4439</f>
        <v>4439</v>
      </c>
      <c r="B4441" s="6" t="s">
        <v>11554</v>
      </c>
      <c r="C4441" s="6" t="s">
        <v>12</v>
      </c>
      <c r="D4441" s="6" t="s">
        <v>11447</v>
      </c>
      <c r="E4441" s="6" t="s">
        <v>11448</v>
      </c>
      <c r="F4441" s="6" t="s">
        <v>11555</v>
      </c>
      <c r="G4441" s="6" t="s">
        <v>16</v>
      </c>
      <c r="H4441" s="5">
        <v>4</v>
      </c>
      <c r="I4441" s="6" t="s">
        <v>11556</v>
      </c>
      <c r="J4441" s="5">
        <v>710</v>
      </c>
    </row>
    <row r="4442" s="2" customFormat="1" spans="1:10">
      <c r="A4442" s="6">
        <f>4440</f>
        <v>4440</v>
      </c>
      <c r="B4442" s="6" t="s">
        <v>11557</v>
      </c>
      <c r="C4442" s="6" t="s">
        <v>12</v>
      </c>
      <c r="D4442" s="6" t="s">
        <v>11447</v>
      </c>
      <c r="E4442" s="6" t="s">
        <v>11448</v>
      </c>
      <c r="F4442" s="6" t="s">
        <v>11558</v>
      </c>
      <c r="G4442" s="6" t="s">
        <v>16</v>
      </c>
      <c r="H4442" s="5">
        <v>1</v>
      </c>
      <c r="I4442" s="6" t="s">
        <v>11558</v>
      </c>
      <c r="J4442" s="5">
        <v>428</v>
      </c>
    </row>
    <row r="4443" s="2" customFormat="1" spans="1:10">
      <c r="A4443" s="6">
        <f>4441</f>
        <v>4441</v>
      </c>
      <c r="B4443" s="6" t="s">
        <v>11559</v>
      </c>
      <c r="C4443" s="6" t="s">
        <v>12</v>
      </c>
      <c r="D4443" s="6" t="s">
        <v>11447</v>
      </c>
      <c r="E4443" s="6" t="s">
        <v>11448</v>
      </c>
      <c r="F4443" s="6" t="s">
        <v>11560</v>
      </c>
      <c r="G4443" s="6" t="s">
        <v>16</v>
      </c>
      <c r="H4443" s="5">
        <v>2</v>
      </c>
      <c r="I4443" s="6" t="s">
        <v>11561</v>
      </c>
      <c r="J4443" s="5">
        <v>530</v>
      </c>
    </row>
    <row r="4444" s="2" customFormat="1" spans="1:10">
      <c r="A4444" s="6">
        <f>4442</f>
        <v>4442</v>
      </c>
      <c r="B4444" s="6" t="s">
        <v>11562</v>
      </c>
      <c r="C4444" s="6" t="s">
        <v>12</v>
      </c>
      <c r="D4444" s="6" t="s">
        <v>11447</v>
      </c>
      <c r="E4444" s="6" t="s">
        <v>11448</v>
      </c>
      <c r="F4444" s="6" t="s">
        <v>11563</v>
      </c>
      <c r="G4444" s="6" t="s">
        <v>16</v>
      </c>
      <c r="H4444" s="5">
        <v>1</v>
      </c>
      <c r="I4444" s="6" t="s">
        <v>11563</v>
      </c>
      <c r="J4444" s="5">
        <v>426</v>
      </c>
    </row>
    <row r="4445" s="2" customFormat="1" spans="1:10">
      <c r="A4445" s="6">
        <f>4443</f>
        <v>4443</v>
      </c>
      <c r="B4445" s="6" t="s">
        <v>11564</v>
      </c>
      <c r="C4445" s="6" t="s">
        <v>12</v>
      </c>
      <c r="D4445" s="6" t="s">
        <v>11447</v>
      </c>
      <c r="E4445" s="6" t="s">
        <v>11448</v>
      </c>
      <c r="F4445" s="6" t="s">
        <v>11565</v>
      </c>
      <c r="G4445" s="6" t="s">
        <v>16</v>
      </c>
      <c r="H4445" s="5">
        <v>2</v>
      </c>
      <c r="I4445" s="6" t="s">
        <v>11566</v>
      </c>
      <c r="J4445" s="5">
        <v>660</v>
      </c>
    </row>
    <row r="4446" s="2" customFormat="1" spans="1:10">
      <c r="A4446" s="6">
        <f>4444</f>
        <v>4444</v>
      </c>
      <c r="B4446" s="6" t="s">
        <v>11567</v>
      </c>
      <c r="C4446" s="6" t="s">
        <v>12</v>
      </c>
      <c r="D4446" s="6" t="s">
        <v>11447</v>
      </c>
      <c r="E4446" s="6" t="s">
        <v>11448</v>
      </c>
      <c r="F4446" s="6" t="s">
        <v>11568</v>
      </c>
      <c r="G4446" s="6" t="s">
        <v>16</v>
      </c>
      <c r="H4446" s="5">
        <v>1</v>
      </c>
      <c r="I4446" s="6" t="s">
        <v>11568</v>
      </c>
      <c r="J4446" s="5">
        <v>265</v>
      </c>
    </row>
    <row r="4447" s="2" customFormat="1" spans="1:10">
      <c r="A4447" s="6">
        <f>4445</f>
        <v>4445</v>
      </c>
      <c r="B4447" s="6" t="s">
        <v>11569</v>
      </c>
      <c r="C4447" s="6" t="s">
        <v>12</v>
      </c>
      <c r="D4447" s="6" t="s">
        <v>11447</v>
      </c>
      <c r="E4447" s="6" t="s">
        <v>11448</v>
      </c>
      <c r="F4447" s="6" t="s">
        <v>11570</v>
      </c>
      <c r="G4447" s="6" t="s">
        <v>16</v>
      </c>
      <c r="H4447" s="5">
        <v>2</v>
      </c>
      <c r="I4447" s="6" t="s">
        <v>11571</v>
      </c>
      <c r="J4447" s="5">
        <v>780</v>
      </c>
    </row>
    <row r="4448" s="2" customFormat="1" spans="1:10">
      <c r="A4448" s="6">
        <f>4446</f>
        <v>4446</v>
      </c>
      <c r="B4448" s="6" t="s">
        <v>11572</v>
      </c>
      <c r="C4448" s="6" t="s">
        <v>12</v>
      </c>
      <c r="D4448" s="6" t="s">
        <v>11447</v>
      </c>
      <c r="E4448" s="6" t="s">
        <v>11448</v>
      </c>
      <c r="F4448" s="6" t="s">
        <v>11573</v>
      </c>
      <c r="G4448" s="6" t="s">
        <v>16</v>
      </c>
      <c r="H4448" s="5">
        <v>1</v>
      </c>
      <c r="I4448" s="6" t="s">
        <v>11573</v>
      </c>
      <c r="J4448" s="5">
        <v>233</v>
      </c>
    </row>
    <row r="4449" s="2" customFormat="1" spans="1:10">
      <c r="A4449" s="6">
        <f>4447</f>
        <v>4447</v>
      </c>
      <c r="B4449" s="6" t="s">
        <v>11574</v>
      </c>
      <c r="C4449" s="6" t="s">
        <v>12</v>
      </c>
      <c r="D4449" s="6" t="s">
        <v>11447</v>
      </c>
      <c r="E4449" s="6" t="s">
        <v>11448</v>
      </c>
      <c r="F4449" s="6" t="s">
        <v>11575</v>
      </c>
      <c r="G4449" s="6" t="s">
        <v>16</v>
      </c>
      <c r="H4449" s="5">
        <v>1</v>
      </c>
      <c r="I4449" s="6" t="s">
        <v>11575</v>
      </c>
      <c r="J4449" s="5">
        <v>238</v>
      </c>
    </row>
    <row r="4450" s="2" customFormat="1" spans="1:10">
      <c r="A4450" s="6">
        <f>4448</f>
        <v>4448</v>
      </c>
      <c r="B4450" s="6" t="s">
        <v>11576</v>
      </c>
      <c r="C4450" s="6" t="s">
        <v>12</v>
      </c>
      <c r="D4450" s="6" t="s">
        <v>11447</v>
      </c>
      <c r="E4450" s="6" t="s">
        <v>11448</v>
      </c>
      <c r="F4450" s="6" t="s">
        <v>11577</v>
      </c>
      <c r="G4450" s="6" t="s">
        <v>16</v>
      </c>
      <c r="H4450" s="5">
        <v>2</v>
      </c>
      <c r="I4450" s="6" t="s">
        <v>11578</v>
      </c>
      <c r="J4450" s="5">
        <v>780</v>
      </c>
    </row>
    <row r="4451" s="2" customFormat="1" spans="1:10">
      <c r="A4451" s="6">
        <f>4449</f>
        <v>4449</v>
      </c>
      <c r="B4451" s="6" t="s">
        <v>11579</v>
      </c>
      <c r="C4451" s="6" t="s">
        <v>12</v>
      </c>
      <c r="D4451" s="6" t="s">
        <v>11447</v>
      </c>
      <c r="E4451" s="6" t="s">
        <v>11448</v>
      </c>
      <c r="F4451" s="6" t="s">
        <v>11580</v>
      </c>
      <c r="G4451" s="6" t="s">
        <v>16</v>
      </c>
      <c r="H4451" s="5">
        <v>1</v>
      </c>
      <c r="I4451" s="6" t="s">
        <v>11580</v>
      </c>
      <c r="J4451" s="5">
        <v>540</v>
      </c>
    </row>
    <row r="4452" s="2" customFormat="1" spans="1:10">
      <c r="A4452" s="6">
        <f>4450</f>
        <v>4450</v>
      </c>
      <c r="B4452" s="6" t="s">
        <v>11581</v>
      </c>
      <c r="C4452" s="6" t="s">
        <v>12</v>
      </c>
      <c r="D4452" s="6" t="s">
        <v>11447</v>
      </c>
      <c r="E4452" s="6" t="s">
        <v>11448</v>
      </c>
      <c r="F4452" s="6" t="s">
        <v>11582</v>
      </c>
      <c r="G4452" s="6" t="s">
        <v>16</v>
      </c>
      <c r="H4452" s="5">
        <v>1</v>
      </c>
      <c r="I4452" s="6" t="s">
        <v>11582</v>
      </c>
      <c r="J4452" s="5">
        <v>260</v>
      </c>
    </row>
    <row r="4453" s="2" customFormat="1" spans="1:10">
      <c r="A4453" s="6">
        <f>4451</f>
        <v>4451</v>
      </c>
      <c r="B4453" s="6" t="s">
        <v>11583</v>
      </c>
      <c r="C4453" s="6" t="s">
        <v>12</v>
      </c>
      <c r="D4453" s="6" t="s">
        <v>11447</v>
      </c>
      <c r="E4453" s="6" t="s">
        <v>11448</v>
      </c>
      <c r="F4453" s="6" t="s">
        <v>11584</v>
      </c>
      <c r="G4453" s="6" t="s">
        <v>16</v>
      </c>
      <c r="H4453" s="5">
        <v>1</v>
      </c>
      <c r="I4453" s="6" t="s">
        <v>11584</v>
      </c>
      <c r="J4453" s="5">
        <v>225</v>
      </c>
    </row>
    <row r="4454" s="2" customFormat="1" spans="1:10">
      <c r="A4454" s="6">
        <f>4452</f>
        <v>4452</v>
      </c>
      <c r="B4454" s="6" t="s">
        <v>11585</v>
      </c>
      <c r="C4454" s="6" t="s">
        <v>12</v>
      </c>
      <c r="D4454" s="6" t="s">
        <v>11447</v>
      </c>
      <c r="E4454" s="6" t="s">
        <v>11448</v>
      </c>
      <c r="F4454" s="6" t="s">
        <v>11586</v>
      </c>
      <c r="G4454" s="6" t="s">
        <v>16</v>
      </c>
      <c r="H4454" s="5">
        <v>1</v>
      </c>
      <c r="I4454" s="6" t="s">
        <v>11586</v>
      </c>
      <c r="J4454" s="5">
        <v>243</v>
      </c>
    </row>
    <row r="4455" s="2" customFormat="1" spans="1:10">
      <c r="A4455" s="6">
        <f>4453</f>
        <v>4453</v>
      </c>
      <c r="B4455" s="6" t="s">
        <v>11587</v>
      </c>
      <c r="C4455" s="6" t="s">
        <v>12</v>
      </c>
      <c r="D4455" s="6" t="s">
        <v>11447</v>
      </c>
      <c r="E4455" s="6" t="s">
        <v>11448</v>
      </c>
      <c r="F4455" s="6" t="s">
        <v>11588</v>
      </c>
      <c r="G4455" s="6" t="s">
        <v>16</v>
      </c>
      <c r="H4455" s="5">
        <v>1</v>
      </c>
      <c r="I4455" s="6" t="s">
        <v>11588</v>
      </c>
      <c r="J4455" s="5">
        <v>238</v>
      </c>
    </row>
    <row r="4456" s="2" customFormat="1" spans="1:10">
      <c r="A4456" s="6">
        <f>4454</f>
        <v>4454</v>
      </c>
      <c r="B4456" s="6" t="s">
        <v>11589</v>
      </c>
      <c r="C4456" s="6" t="s">
        <v>12</v>
      </c>
      <c r="D4456" s="6" t="s">
        <v>11447</v>
      </c>
      <c r="E4456" s="6" t="s">
        <v>11448</v>
      </c>
      <c r="F4456" s="6" t="s">
        <v>11590</v>
      </c>
      <c r="G4456" s="6" t="s">
        <v>16</v>
      </c>
      <c r="H4456" s="5">
        <v>2</v>
      </c>
      <c r="I4456" s="6" t="s">
        <v>11591</v>
      </c>
      <c r="J4456" s="5">
        <v>1120</v>
      </c>
    </row>
    <row r="4457" s="2" customFormat="1" ht="27" spans="1:10">
      <c r="A4457" s="6">
        <f>4455</f>
        <v>4455</v>
      </c>
      <c r="B4457" s="6" t="s">
        <v>11592</v>
      </c>
      <c r="C4457" s="6" t="s">
        <v>12</v>
      </c>
      <c r="D4457" s="6" t="s">
        <v>11447</v>
      </c>
      <c r="E4457" s="6" t="s">
        <v>11448</v>
      </c>
      <c r="F4457" s="6" t="s">
        <v>11593</v>
      </c>
      <c r="G4457" s="6" t="s">
        <v>16</v>
      </c>
      <c r="H4457" s="5">
        <v>6</v>
      </c>
      <c r="I4457" s="6" t="s">
        <v>11594</v>
      </c>
      <c r="J4457" s="5">
        <v>1240</v>
      </c>
    </row>
    <row r="4458" s="2" customFormat="1" spans="1:10">
      <c r="A4458" s="6">
        <f>4456</f>
        <v>4456</v>
      </c>
      <c r="B4458" s="6" t="s">
        <v>11595</v>
      </c>
      <c r="C4458" s="6" t="s">
        <v>12</v>
      </c>
      <c r="D4458" s="6" t="s">
        <v>11447</v>
      </c>
      <c r="E4458" s="6" t="s">
        <v>11448</v>
      </c>
      <c r="F4458" s="6" t="s">
        <v>11596</v>
      </c>
      <c r="G4458" s="6" t="s">
        <v>16</v>
      </c>
      <c r="H4458" s="5">
        <v>1</v>
      </c>
      <c r="I4458" s="6" t="s">
        <v>11596</v>
      </c>
      <c r="J4458" s="5">
        <v>340</v>
      </c>
    </row>
    <row r="4459" s="2" customFormat="1" spans="1:10">
      <c r="A4459" s="6">
        <f>4457</f>
        <v>4457</v>
      </c>
      <c r="B4459" s="6" t="s">
        <v>11597</v>
      </c>
      <c r="C4459" s="6" t="s">
        <v>12</v>
      </c>
      <c r="D4459" s="6" t="s">
        <v>11447</v>
      </c>
      <c r="E4459" s="6" t="s">
        <v>11448</v>
      </c>
      <c r="F4459" s="6" t="s">
        <v>11598</v>
      </c>
      <c r="G4459" s="6" t="s">
        <v>16</v>
      </c>
      <c r="H4459" s="5">
        <v>1</v>
      </c>
      <c r="I4459" s="6" t="s">
        <v>11598</v>
      </c>
      <c r="J4459" s="5">
        <v>228</v>
      </c>
    </row>
    <row r="4460" s="2" customFormat="1" spans="1:10">
      <c r="A4460" s="6">
        <f>4458</f>
        <v>4458</v>
      </c>
      <c r="B4460" s="6" t="s">
        <v>11599</v>
      </c>
      <c r="C4460" s="6" t="s">
        <v>12</v>
      </c>
      <c r="D4460" s="6" t="s">
        <v>11447</v>
      </c>
      <c r="E4460" s="6" t="s">
        <v>11448</v>
      </c>
      <c r="F4460" s="6" t="s">
        <v>11600</v>
      </c>
      <c r="G4460" s="6" t="s">
        <v>16</v>
      </c>
      <c r="H4460" s="5">
        <v>2</v>
      </c>
      <c r="I4460" s="6" t="s">
        <v>11601</v>
      </c>
      <c r="J4460" s="5">
        <v>466</v>
      </c>
    </row>
    <row r="4461" s="2" customFormat="1" spans="1:10">
      <c r="A4461" s="6">
        <f>4459</f>
        <v>4459</v>
      </c>
      <c r="B4461" s="6" t="s">
        <v>11602</v>
      </c>
      <c r="C4461" s="6" t="s">
        <v>12</v>
      </c>
      <c r="D4461" s="6" t="s">
        <v>11447</v>
      </c>
      <c r="E4461" s="6" t="s">
        <v>11448</v>
      </c>
      <c r="F4461" s="6" t="s">
        <v>11603</v>
      </c>
      <c r="G4461" s="6" t="s">
        <v>16</v>
      </c>
      <c r="H4461" s="5">
        <v>1</v>
      </c>
      <c r="I4461" s="6" t="s">
        <v>11603</v>
      </c>
      <c r="J4461" s="5">
        <v>287</v>
      </c>
    </row>
    <row r="4462" s="2" customFormat="1" spans="1:10">
      <c r="A4462" s="6">
        <f>4460</f>
        <v>4460</v>
      </c>
      <c r="B4462" s="6" t="s">
        <v>11604</v>
      </c>
      <c r="C4462" s="6" t="s">
        <v>12</v>
      </c>
      <c r="D4462" s="6" t="s">
        <v>11447</v>
      </c>
      <c r="E4462" s="6" t="s">
        <v>11448</v>
      </c>
      <c r="F4462" s="6" t="s">
        <v>11605</v>
      </c>
      <c r="G4462" s="6" t="s">
        <v>16</v>
      </c>
      <c r="H4462" s="5">
        <v>1</v>
      </c>
      <c r="I4462" s="6" t="s">
        <v>11605</v>
      </c>
      <c r="J4462" s="5">
        <v>260</v>
      </c>
    </row>
    <row r="4463" s="2" customFormat="1" spans="1:10">
      <c r="A4463" s="6">
        <f>4461</f>
        <v>4461</v>
      </c>
      <c r="B4463" s="6" t="s">
        <v>11606</v>
      </c>
      <c r="C4463" s="6" t="s">
        <v>12</v>
      </c>
      <c r="D4463" s="6" t="s">
        <v>11447</v>
      </c>
      <c r="E4463" s="6" t="s">
        <v>11448</v>
      </c>
      <c r="F4463" s="6" t="s">
        <v>11607</v>
      </c>
      <c r="G4463" s="6" t="s">
        <v>16</v>
      </c>
      <c r="H4463" s="5">
        <v>1</v>
      </c>
      <c r="I4463" s="6" t="s">
        <v>11607</v>
      </c>
      <c r="J4463" s="5">
        <v>233</v>
      </c>
    </row>
    <row r="4464" s="2" customFormat="1" spans="1:10">
      <c r="A4464" s="6">
        <f>4462</f>
        <v>4462</v>
      </c>
      <c r="B4464" s="6" t="s">
        <v>11608</v>
      </c>
      <c r="C4464" s="6" t="s">
        <v>12</v>
      </c>
      <c r="D4464" s="6" t="s">
        <v>11447</v>
      </c>
      <c r="E4464" s="6" t="s">
        <v>11448</v>
      </c>
      <c r="F4464" s="6" t="s">
        <v>11609</v>
      </c>
      <c r="G4464" s="6" t="s">
        <v>16</v>
      </c>
      <c r="H4464" s="5">
        <v>2</v>
      </c>
      <c r="I4464" s="6" t="s">
        <v>11610</v>
      </c>
      <c r="J4464" s="5">
        <v>600</v>
      </c>
    </row>
    <row r="4465" s="2" customFormat="1" spans="1:10">
      <c r="A4465" s="6">
        <f>4463</f>
        <v>4463</v>
      </c>
      <c r="B4465" s="6" t="s">
        <v>11611</v>
      </c>
      <c r="C4465" s="6" t="s">
        <v>12</v>
      </c>
      <c r="D4465" s="6" t="s">
        <v>11447</v>
      </c>
      <c r="E4465" s="6" t="s">
        <v>11448</v>
      </c>
      <c r="F4465" s="6" t="s">
        <v>11612</v>
      </c>
      <c r="G4465" s="6" t="s">
        <v>16</v>
      </c>
      <c r="H4465" s="5">
        <v>1</v>
      </c>
      <c r="I4465" s="6" t="s">
        <v>11612</v>
      </c>
      <c r="J4465" s="5">
        <v>268</v>
      </c>
    </row>
    <row r="4466" s="2" customFormat="1" spans="1:10">
      <c r="A4466" s="6">
        <f>4464</f>
        <v>4464</v>
      </c>
      <c r="B4466" s="6" t="s">
        <v>11613</v>
      </c>
      <c r="C4466" s="6" t="s">
        <v>12</v>
      </c>
      <c r="D4466" s="6" t="s">
        <v>11447</v>
      </c>
      <c r="E4466" s="6" t="s">
        <v>11448</v>
      </c>
      <c r="F4466" s="6" t="s">
        <v>11614</v>
      </c>
      <c r="G4466" s="6" t="s">
        <v>16</v>
      </c>
      <c r="H4466" s="5">
        <v>1</v>
      </c>
      <c r="I4466" s="6" t="s">
        <v>11614</v>
      </c>
      <c r="J4466" s="5">
        <v>265</v>
      </c>
    </row>
    <row r="4467" s="2" customFormat="1" spans="1:10">
      <c r="A4467" s="6">
        <f>4465</f>
        <v>4465</v>
      </c>
      <c r="B4467" s="6" t="s">
        <v>11615</v>
      </c>
      <c r="C4467" s="6" t="s">
        <v>12</v>
      </c>
      <c r="D4467" s="6" t="s">
        <v>11447</v>
      </c>
      <c r="E4467" s="6" t="s">
        <v>11448</v>
      </c>
      <c r="F4467" s="6" t="s">
        <v>11616</v>
      </c>
      <c r="G4467" s="6" t="s">
        <v>16</v>
      </c>
      <c r="H4467" s="5">
        <v>3</v>
      </c>
      <c r="I4467" s="6" t="s">
        <v>11617</v>
      </c>
      <c r="J4467" s="5">
        <v>780</v>
      </c>
    </row>
    <row r="4468" s="2" customFormat="1" spans="1:10">
      <c r="A4468" s="6">
        <f>4466</f>
        <v>4466</v>
      </c>
      <c r="B4468" s="6" t="s">
        <v>11618</v>
      </c>
      <c r="C4468" s="6" t="s">
        <v>12</v>
      </c>
      <c r="D4468" s="6" t="s">
        <v>11447</v>
      </c>
      <c r="E4468" s="6" t="s">
        <v>11448</v>
      </c>
      <c r="F4468" s="6" t="s">
        <v>11619</v>
      </c>
      <c r="G4468" s="6" t="s">
        <v>16</v>
      </c>
      <c r="H4468" s="5">
        <v>1</v>
      </c>
      <c r="I4468" s="6" t="s">
        <v>11619</v>
      </c>
      <c r="J4468" s="5">
        <v>540</v>
      </c>
    </row>
    <row r="4469" s="2" customFormat="1" spans="1:10">
      <c r="A4469" s="6">
        <f>4467</f>
        <v>4467</v>
      </c>
      <c r="B4469" s="6" t="s">
        <v>11620</v>
      </c>
      <c r="C4469" s="6" t="s">
        <v>12</v>
      </c>
      <c r="D4469" s="6" t="s">
        <v>11447</v>
      </c>
      <c r="E4469" s="6" t="s">
        <v>11448</v>
      </c>
      <c r="F4469" s="6" t="s">
        <v>11621</v>
      </c>
      <c r="G4469" s="6" t="s">
        <v>16</v>
      </c>
      <c r="H4469" s="5">
        <v>2</v>
      </c>
      <c r="I4469" s="6" t="s">
        <v>11622</v>
      </c>
      <c r="J4469" s="5">
        <v>760</v>
      </c>
    </row>
    <row r="4470" s="2" customFormat="1" spans="1:10">
      <c r="A4470" s="6">
        <f>4468</f>
        <v>4468</v>
      </c>
      <c r="B4470" s="6" t="s">
        <v>11623</v>
      </c>
      <c r="C4470" s="6" t="s">
        <v>12</v>
      </c>
      <c r="D4470" s="6" t="s">
        <v>11447</v>
      </c>
      <c r="E4470" s="6" t="s">
        <v>11448</v>
      </c>
      <c r="F4470" s="6" t="s">
        <v>11624</v>
      </c>
      <c r="G4470" s="6" t="s">
        <v>16</v>
      </c>
      <c r="H4470" s="5">
        <v>1</v>
      </c>
      <c r="I4470" s="6" t="s">
        <v>11624</v>
      </c>
      <c r="J4470" s="5">
        <v>420</v>
      </c>
    </row>
    <row r="4471" s="2" customFormat="1" spans="1:10">
      <c r="A4471" s="6">
        <f>4469</f>
        <v>4469</v>
      </c>
      <c r="B4471" s="6" t="s">
        <v>11625</v>
      </c>
      <c r="C4471" s="6" t="s">
        <v>12</v>
      </c>
      <c r="D4471" s="6" t="s">
        <v>11447</v>
      </c>
      <c r="E4471" s="6" t="s">
        <v>11626</v>
      </c>
      <c r="F4471" s="6" t="s">
        <v>11627</v>
      </c>
      <c r="G4471" s="6" t="s">
        <v>16</v>
      </c>
      <c r="H4471" s="5">
        <v>1</v>
      </c>
      <c r="I4471" s="6" t="s">
        <v>11627</v>
      </c>
      <c r="J4471" s="5">
        <v>480</v>
      </c>
    </row>
    <row r="4472" s="2" customFormat="1" spans="1:10">
      <c r="A4472" s="6">
        <f>4470</f>
        <v>4470</v>
      </c>
      <c r="B4472" s="6" t="s">
        <v>11628</v>
      </c>
      <c r="C4472" s="6" t="s">
        <v>12</v>
      </c>
      <c r="D4472" s="6" t="s">
        <v>11447</v>
      </c>
      <c r="E4472" s="6" t="s">
        <v>11626</v>
      </c>
      <c r="F4472" s="6" t="s">
        <v>11629</v>
      </c>
      <c r="G4472" s="6" t="s">
        <v>16</v>
      </c>
      <c r="H4472" s="5">
        <v>1</v>
      </c>
      <c r="I4472" s="6" t="s">
        <v>11629</v>
      </c>
      <c r="J4472" s="5">
        <v>320</v>
      </c>
    </row>
    <row r="4473" s="2" customFormat="1" spans="1:10">
      <c r="A4473" s="6">
        <f>4471</f>
        <v>4471</v>
      </c>
      <c r="B4473" s="6" t="s">
        <v>11630</v>
      </c>
      <c r="C4473" s="6" t="s">
        <v>12</v>
      </c>
      <c r="D4473" s="6" t="s">
        <v>11447</v>
      </c>
      <c r="E4473" s="6" t="s">
        <v>11626</v>
      </c>
      <c r="F4473" s="6" t="s">
        <v>11631</v>
      </c>
      <c r="G4473" s="6" t="s">
        <v>16</v>
      </c>
      <c r="H4473" s="5">
        <v>1</v>
      </c>
      <c r="I4473" s="6" t="s">
        <v>11631</v>
      </c>
      <c r="J4473" s="5">
        <v>290</v>
      </c>
    </row>
    <row r="4474" s="2" customFormat="1" ht="27" spans="1:10">
      <c r="A4474" s="6">
        <f>4472</f>
        <v>4472</v>
      </c>
      <c r="B4474" s="6" t="s">
        <v>11632</v>
      </c>
      <c r="C4474" s="6" t="s">
        <v>12</v>
      </c>
      <c r="D4474" s="6" t="s">
        <v>11447</v>
      </c>
      <c r="E4474" s="6" t="s">
        <v>11626</v>
      </c>
      <c r="F4474" s="6" t="s">
        <v>11633</v>
      </c>
      <c r="G4474" s="6" t="s">
        <v>16</v>
      </c>
      <c r="H4474" s="5">
        <v>6</v>
      </c>
      <c r="I4474" s="6" t="s">
        <v>11634</v>
      </c>
      <c r="J4474" s="5">
        <v>990</v>
      </c>
    </row>
    <row r="4475" s="2" customFormat="1" spans="1:10">
      <c r="A4475" s="6">
        <f>4473</f>
        <v>4473</v>
      </c>
      <c r="B4475" s="6" t="s">
        <v>11635</v>
      </c>
      <c r="C4475" s="6" t="s">
        <v>12</v>
      </c>
      <c r="D4475" s="6" t="s">
        <v>11447</v>
      </c>
      <c r="E4475" s="6" t="s">
        <v>11626</v>
      </c>
      <c r="F4475" s="6" t="s">
        <v>11636</v>
      </c>
      <c r="G4475" s="6" t="s">
        <v>16</v>
      </c>
      <c r="H4475" s="5">
        <v>3</v>
      </c>
      <c r="I4475" s="6" t="s">
        <v>11637</v>
      </c>
      <c r="J4475" s="5">
        <v>480</v>
      </c>
    </row>
    <row r="4476" s="2" customFormat="1" spans="1:10">
      <c r="A4476" s="6">
        <f>4474</f>
        <v>4474</v>
      </c>
      <c r="B4476" s="6" t="s">
        <v>11638</v>
      </c>
      <c r="C4476" s="6" t="s">
        <v>12</v>
      </c>
      <c r="D4476" s="6" t="s">
        <v>11447</v>
      </c>
      <c r="E4476" s="6" t="s">
        <v>11626</v>
      </c>
      <c r="F4476" s="6" t="s">
        <v>11639</v>
      </c>
      <c r="G4476" s="6" t="s">
        <v>16</v>
      </c>
      <c r="H4476" s="5">
        <v>1</v>
      </c>
      <c r="I4476" s="6" t="s">
        <v>11639</v>
      </c>
      <c r="J4476" s="5">
        <v>400</v>
      </c>
    </row>
    <row r="4477" s="2" customFormat="1" spans="1:10">
      <c r="A4477" s="6">
        <f>4475</f>
        <v>4475</v>
      </c>
      <c r="B4477" s="6" t="s">
        <v>11640</v>
      </c>
      <c r="C4477" s="6" t="s">
        <v>12</v>
      </c>
      <c r="D4477" s="6" t="s">
        <v>11447</v>
      </c>
      <c r="E4477" s="6" t="s">
        <v>11626</v>
      </c>
      <c r="F4477" s="6" t="s">
        <v>11641</v>
      </c>
      <c r="G4477" s="6" t="s">
        <v>16</v>
      </c>
      <c r="H4477" s="5">
        <v>1</v>
      </c>
      <c r="I4477" s="6" t="s">
        <v>11641</v>
      </c>
      <c r="J4477" s="5">
        <v>260</v>
      </c>
    </row>
    <row r="4478" s="2" customFormat="1" spans="1:10">
      <c r="A4478" s="6">
        <f>4476</f>
        <v>4476</v>
      </c>
      <c r="B4478" s="6" t="s">
        <v>11642</v>
      </c>
      <c r="C4478" s="6" t="s">
        <v>12</v>
      </c>
      <c r="D4478" s="6" t="s">
        <v>11447</v>
      </c>
      <c r="E4478" s="6" t="s">
        <v>11626</v>
      </c>
      <c r="F4478" s="6" t="s">
        <v>11643</v>
      </c>
      <c r="G4478" s="6" t="s">
        <v>16</v>
      </c>
      <c r="H4478" s="5">
        <v>1</v>
      </c>
      <c r="I4478" s="6" t="s">
        <v>11643</v>
      </c>
      <c r="J4478" s="5">
        <v>416</v>
      </c>
    </row>
    <row r="4479" s="2" customFormat="1" spans="1:10">
      <c r="A4479" s="6">
        <f>4477</f>
        <v>4477</v>
      </c>
      <c r="B4479" s="6" t="s">
        <v>11644</v>
      </c>
      <c r="C4479" s="6" t="s">
        <v>12</v>
      </c>
      <c r="D4479" s="6" t="s">
        <v>11447</v>
      </c>
      <c r="E4479" s="6" t="s">
        <v>11626</v>
      </c>
      <c r="F4479" s="6" t="s">
        <v>11645</v>
      </c>
      <c r="G4479" s="6" t="s">
        <v>16</v>
      </c>
      <c r="H4479" s="5">
        <v>1</v>
      </c>
      <c r="I4479" s="6" t="s">
        <v>11645</v>
      </c>
      <c r="J4479" s="5">
        <v>238</v>
      </c>
    </row>
    <row r="4480" s="2" customFormat="1" spans="1:10">
      <c r="A4480" s="6">
        <f>4478</f>
        <v>4478</v>
      </c>
      <c r="B4480" s="6" t="s">
        <v>11646</v>
      </c>
      <c r="C4480" s="6" t="s">
        <v>12</v>
      </c>
      <c r="D4480" s="6" t="s">
        <v>11447</v>
      </c>
      <c r="E4480" s="6" t="s">
        <v>11626</v>
      </c>
      <c r="F4480" s="6" t="s">
        <v>11647</v>
      </c>
      <c r="G4480" s="6" t="s">
        <v>16</v>
      </c>
      <c r="H4480" s="5">
        <v>1</v>
      </c>
      <c r="I4480" s="6" t="s">
        <v>11647</v>
      </c>
      <c r="J4480" s="5">
        <v>238</v>
      </c>
    </row>
    <row r="4481" s="2" customFormat="1" spans="1:10">
      <c r="A4481" s="6">
        <f>4479</f>
        <v>4479</v>
      </c>
      <c r="B4481" s="6" t="s">
        <v>11648</v>
      </c>
      <c r="C4481" s="6" t="s">
        <v>12</v>
      </c>
      <c r="D4481" s="6" t="s">
        <v>11447</v>
      </c>
      <c r="E4481" s="6" t="s">
        <v>11626</v>
      </c>
      <c r="F4481" s="6" t="s">
        <v>11649</v>
      </c>
      <c r="G4481" s="6" t="s">
        <v>16</v>
      </c>
      <c r="H4481" s="5">
        <v>1</v>
      </c>
      <c r="I4481" s="6" t="s">
        <v>11649</v>
      </c>
      <c r="J4481" s="5">
        <v>265</v>
      </c>
    </row>
    <row r="4482" s="2" customFormat="1" spans="1:10">
      <c r="A4482" s="6">
        <f>4480</f>
        <v>4480</v>
      </c>
      <c r="B4482" s="6" t="s">
        <v>11650</v>
      </c>
      <c r="C4482" s="6" t="s">
        <v>12</v>
      </c>
      <c r="D4482" s="6" t="s">
        <v>11447</v>
      </c>
      <c r="E4482" s="6" t="s">
        <v>11626</v>
      </c>
      <c r="F4482" s="6" t="s">
        <v>11651</v>
      </c>
      <c r="G4482" s="6" t="s">
        <v>16</v>
      </c>
      <c r="H4482" s="5">
        <v>2</v>
      </c>
      <c r="I4482" s="6" t="s">
        <v>11652</v>
      </c>
      <c r="J4482" s="5">
        <v>570</v>
      </c>
    </row>
    <row r="4483" s="2" customFormat="1" spans="1:10">
      <c r="A4483" s="6">
        <f>4481</f>
        <v>4481</v>
      </c>
      <c r="B4483" s="6" t="s">
        <v>11653</v>
      </c>
      <c r="C4483" s="6" t="s">
        <v>12</v>
      </c>
      <c r="D4483" s="6" t="s">
        <v>11447</v>
      </c>
      <c r="E4483" s="6" t="s">
        <v>11626</v>
      </c>
      <c r="F4483" s="6" t="s">
        <v>11654</v>
      </c>
      <c r="G4483" s="6" t="s">
        <v>16</v>
      </c>
      <c r="H4483" s="5">
        <v>1</v>
      </c>
      <c r="I4483" s="6" t="s">
        <v>11654</v>
      </c>
      <c r="J4483" s="5">
        <v>238</v>
      </c>
    </row>
    <row r="4484" s="2" customFormat="1" spans="1:10">
      <c r="A4484" s="6">
        <f>4482</f>
        <v>4482</v>
      </c>
      <c r="B4484" s="6" t="s">
        <v>11655</v>
      </c>
      <c r="C4484" s="6" t="s">
        <v>12</v>
      </c>
      <c r="D4484" s="6" t="s">
        <v>11447</v>
      </c>
      <c r="E4484" s="6" t="s">
        <v>11626</v>
      </c>
      <c r="F4484" s="6" t="s">
        <v>11656</v>
      </c>
      <c r="G4484" s="6" t="s">
        <v>16</v>
      </c>
      <c r="H4484" s="5">
        <v>1</v>
      </c>
      <c r="I4484" s="6" t="s">
        <v>11656</v>
      </c>
      <c r="J4484" s="5">
        <v>238</v>
      </c>
    </row>
    <row r="4485" s="2" customFormat="1" spans="1:10">
      <c r="A4485" s="6">
        <f>4483</f>
        <v>4483</v>
      </c>
      <c r="B4485" s="6" t="s">
        <v>11657</v>
      </c>
      <c r="C4485" s="6" t="s">
        <v>12</v>
      </c>
      <c r="D4485" s="6" t="s">
        <v>11447</v>
      </c>
      <c r="E4485" s="6" t="s">
        <v>11626</v>
      </c>
      <c r="F4485" s="6" t="s">
        <v>11658</v>
      </c>
      <c r="G4485" s="6" t="s">
        <v>16</v>
      </c>
      <c r="H4485" s="5">
        <v>1</v>
      </c>
      <c r="I4485" s="6" t="s">
        <v>11658</v>
      </c>
      <c r="J4485" s="5">
        <v>238</v>
      </c>
    </row>
    <row r="4486" s="2" customFormat="1" spans="1:10">
      <c r="A4486" s="6">
        <f>4484</f>
        <v>4484</v>
      </c>
      <c r="B4486" s="6" t="s">
        <v>11659</v>
      </c>
      <c r="C4486" s="6" t="s">
        <v>12</v>
      </c>
      <c r="D4486" s="6" t="s">
        <v>11447</v>
      </c>
      <c r="E4486" s="6" t="s">
        <v>11626</v>
      </c>
      <c r="F4486" s="6" t="s">
        <v>11660</v>
      </c>
      <c r="G4486" s="6" t="s">
        <v>16</v>
      </c>
      <c r="H4486" s="5">
        <v>1</v>
      </c>
      <c r="I4486" s="6" t="s">
        <v>11660</v>
      </c>
      <c r="J4486" s="5">
        <v>228</v>
      </c>
    </row>
    <row r="4487" s="2" customFormat="1" spans="1:10">
      <c r="A4487" s="6">
        <f>4485</f>
        <v>4485</v>
      </c>
      <c r="B4487" s="6" t="s">
        <v>11661</v>
      </c>
      <c r="C4487" s="6" t="s">
        <v>12</v>
      </c>
      <c r="D4487" s="6" t="s">
        <v>11447</v>
      </c>
      <c r="E4487" s="6" t="s">
        <v>11626</v>
      </c>
      <c r="F4487" s="6" t="s">
        <v>11662</v>
      </c>
      <c r="G4487" s="6" t="s">
        <v>16</v>
      </c>
      <c r="H4487" s="5">
        <v>2</v>
      </c>
      <c r="I4487" s="6" t="s">
        <v>11663</v>
      </c>
      <c r="J4487" s="5">
        <v>490</v>
      </c>
    </row>
    <row r="4488" s="2" customFormat="1" spans="1:10">
      <c r="A4488" s="6">
        <f>4486</f>
        <v>4486</v>
      </c>
      <c r="B4488" s="6" t="s">
        <v>11664</v>
      </c>
      <c r="C4488" s="6" t="s">
        <v>12</v>
      </c>
      <c r="D4488" s="6" t="s">
        <v>11447</v>
      </c>
      <c r="E4488" s="6" t="s">
        <v>11626</v>
      </c>
      <c r="F4488" s="6" t="s">
        <v>11665</v>
      </c>
      <c r="G4488" s="6" t="s">
        <v>16</v>
      </c>
      <c r="H4488" s="5">
        <v>1</v>
      </c>
      <c r="I4488" s="6" t="s">
        <v>11665</v>
      </c>
      <c r="J4488" s="5">
        <v>238</v>
      </c>
    </row>
    <row r="4489" s="2" customFormat="1" spans="1:10">
      <c r="A4489" s="6">
        <f>4487</f>
        <v>4487</v>
      </c>
      <c r="B4489" s="6" t="s">
        <v>11666</v>
      </c>
      <c r="C4489" s="6" t="s">
        <v>12</v>
      </c>
      <c r="D4489" s="6" t="s">
        <v>11447</v>
      </c>
      <c r="E4489" s="6" t="s">
        <v>11626</v>
      </c>
      <c r="F4489" s="6" t="s">
        <v>11667</v>
      </c>
      <c r="G4489" s="6" t="s">
        <v>16</v>
      </c>
      <c r="H4489" s="5">
        <v>2</v>
      </c>
      <c r="I4489" s="6" t="s">
        <v>11668</v>
      </c>
      <c r="J4489" s="5">
        <v>520</v>
      </c>
    </row>
    <row r="4490" s="2" customFormat="1" spans="1:10">
      <c r="A4490" s="6">
        <f>4488</f>
        <v>4488</v>
      </c>
      <c r="B4490" s="6" t="s">
        <v>11669</v>
      </c>
      <c r="C4490" s="6" t="s">
        <v>12</v>
      </c>
      <c r="D4490" s="6" t="s">
        <v>11447</v>
      </c>
      <c r="E4490" s="6" t="s">
        <v>11626</v>
      </c>
      <c r="F4490" s="6" t="s">
        <v>11670</v>
      </c>
      <c r="G4490" s="6" t="s">
        <v>16</v>
      </c>
      <c r="H4490" s="5">
        <v>1</v>
      </c>
      <c r="I4490" s="6" t="s">
        <v>11670</v>
      </c>
      <c r="J4490" s="5">
        <v>258</v>
      </c>
    </row>
    <row r="4491" s="2" customFormat="1" spans="1:10">
      <c r="A4491" s="6">
        <f>4489</f>
        <v>4489</v>
      </c>
      <c r="B4491" s="6" t="s">
        <v>11671</v>
      </c>
      <c r="C4491" s="6" t="s">
        <v>12</v>
      </c>
      <c r="D4491" s="6" t="s">
        <v>11447</v>
      </c>
      <c r="E4491" s="6" t="s">
        <v>11626</v>
      </c>
      <c r="F4491" s="6" t="s">
        <v>11672</v>
      </c>
      <c r="G4491" s="6" t="s">
        <v>16</v>
      </c>
      <c r="H4491" s="5">
        <v>1</v>
      </c>
      <c r="I4491" s="6" t="s">
        <v>11672</v>
      </c>
      <c r="J4491" s="5">
        <v>238</v>
      </c>
    </row>
    <row r="4492" s="2" customFormat="1" spans="1:10">
      <c r="A4492" s="6">
        <f>4490</f>
        <v>4490</v>
      </c>
      <c r="B4492" s="6" t="s">
        <v>11673</v>
      </c>
      <c r="C4492" s="6" t="s">
        <v>12</v>
      </c>
      <c r="D4492" s="6" t="s">
        <v>11447</v>
      </c>
      <c r="E4492" s="6" t="s">
        <v>11626</v>
      </c>
      <c r="F4492" s="6" t="s">
        <v>11674</v>
      </c>
      <c r="G4492" s="6" t="s">
        <v>16</v>
      </c>
      <c r="H4492" s="5">
        <v>1</v>
      </c>
      <c r="I4492" s="6" t="s">
        <v>11674</v>
      </c>
      <c r="J4492" s="5">
        <v>248</v>
      </c>
    </row>
    <row r="4493" s="2" customFormat="1" spans="1:10">
      <c r="A4493" s="6">
        <f>4491</f>
        <v>4491</v>
      </c>
      <c r="B4493" s="6" t="s">
        <v>11675</v>
      </c>
      <c r="C4493" s="6" t="s">
        <v>12</v>
      </c>
      <c r="D4493" s="6" t="s">
        <v>11447</v>
      </c>
      <c r="E4493" s="6" t="s">
        <v>11626</v>
      </c>
      <c r="F4493" s="6" t="s">
        <v>11676</v>
      </c>
      <c r="G4493" s="6" t="s">
        <v>16</v>
      </c>
      <c r="H4493" s="5">
        <v>3</v>
      </c>
      <c r="I4493" s="6" t="s">
        <v>11677</v>
      </c>
      <c r="J4493" s="5">
        <v>858</v>
      </c>
    </row>
    <row r="4494" s="2" customFormat="1" spans="1:10">
      <c r="A4494" s="6">
        <f>4492</f>
        <v>4492</v>
      </c>
      <c r="B4494" s="6" t="s">
        <v>11678</v>
      </c>
      <c r="C4494" s="6" t="s">
        <v>12</v>
      </c>
      <c r="D4494" s="6" t="s">
        <v>11447</v>
      </c>
      <c r="E4494" s="6" t="s">
        <v>11626</v>
      </c>
      <c r="F4494" s="6" t="s">
        <v>11679</v>
      </c>
      <c r="G4494" s="6" t="s">
        <v>16</v>
      </c>
      <c r="H4494" s="5">
        <v>2</v>
      </c>
      <c r="I4494" s="6" t="s">
        <v>11680</v>
      </c>
      <c r="J4494" s="5">
        <v>530</v>
      </c>
    </row>
    <row r="4495" s="2" customFormat="1" spans="1:10">
      <c r="A4495" s="6">
        <f>4493</f>
        <v>4493</v>
      </c>
      <c r="B4495" s="6" t="s">
        <v>11681</v>
      </c>
      <c r="C4495" s="6" t="s">
        <v>12</v>
      </c>
      <c r="D4495" s="6" t="s">
        <v>11447</v>
      </c>
      <c r="E4495" s="6" t="s">
        <v>11626</v>
      </c>
      <c r="F4495" s="6" t="s">
        <v>11682</v>
      </c>
      <c r="G4495" s="6" t="s">
        <v>16</v>
      </c>
      <c r="H4495" s="5">
        <v>1</v>
      </c>
      <c r="I4495" s="6" t="s">
        <v>11682</v>
      </c>
      <c r="J4495" s="5">
        <v>300</v>
      </c>
    </row>
    <row r="4496" s="2" customFormat="1" spans="1:10">
      <c r="A4496" s="6">
        <f>4494</f>
        <v>4494</v>
      </c>
      <c r="B4496" s="6" t="s">
        <v>11683</v>
      </c>
      <c r="C4496" s="6" t="s">
        <v>12</v>
      </c>
      <c r="D4496" s="6" t="s">
        <v>11447</v>
      </c>
      <c r="E4496" s="6" t="s">
        <v>11626</v>
      </c>
      <c r="F4496" s="6" t="s">
        <v>11684</v>
      </c>
      <c r="G4496" s="6" t="s">
        <v>16</v>
      </c>
      <c r="H4496" s="5">
        <v>2</v>
      </c>
      <c r="I4496" s="6" t="s">
        <v>11685</v>
      </c>
      <c r="J4496" s="5">
        <v>1000</v>
      </c>
    </row>
    <row r="4497" s="2" customFormat="1" spans="1:10">
      <c r="A4497" s="6">
        <f>4495</f>
        <v>4495</v>
      </c>
      <c r="B4497" s="6" t="s">
        <v>11686</v>
      </c>
      <c r="C4497" s="6" t="s">
        <v>12</v>
      </c>
      <c r="D4497" s="6" t="s">
        <v>11447</v>
      </c>
      <c r="E4497" s="6" t="s">
        <v>11626</v>
      </c>
      <c r="F4497" s="6" t="s">
        <v>11687</v>
      </c>
      <c r="G4497" s="6" t="s">
        <v>16</v>
      </c>
      <c r="H4497" s="5">
        <v>1</v>
      </c>
      <c r="I4497" s="6" t="s">
        <v>11687</v>
      </c>
      <c r="J4497" s="5">
        <v>265</v>
      </c>
    </row>
    <row r="4498" s="2" customFormat="1" spans="1:10">
      <c r="A4498" s="6">
        <f>4496</f>
        <v>4496</v>
      </c>
      <c r="B4498" s="6" t="s">
        <v>11688</v>
      </c>
      <c r="C4498" s="6" t="s">
        <v>12</v>
      </c>
      <c r="D4498" s="6" t="s">
        <v>11447</v>
      </c>
      <c r="E4498" s="6" t="s">
        <v>11626</v>
      </c>
      <c r="F4498" s="6" t="s">
        <v>11689</v>
      </c>
      <c r="G4498" s="6" t="s">
        <v>16</v>
      </c>
      <c r="H4498" s="5">
        <v>1</v>
      </c>
      <c r="I4498" s="6" t="s">
        <v>11689</v>
      </c>
      <c r="J4498" s="5">
        <v>280</v>
      </c>
    </row>
    <row r="4499" s="2" customFormat="1" spans="1:10">
      <c r="A4499" s="6">
        <f>4497</f>
        <v>4497</v>
      </c>
      <c r="B4499" s="6" t="s">
        <v>11690</v>
      </c>
      <c r="C4499" s="6" t="s">
        <v>12</v>
      </c>
      <c r="D4499" s="6" t="s">
        <v>11447</v>
      </c>
      <c r="E4499" s="6" t="s">
        <v>11626</v>
      </c>
      <c r="F4499" s="6" t="s">
        <v>11691</v>
      </c>
      <c r="G4499" s="6" t="s">
        <v>16</v>
      </c>
      <c r="H4499" s="5">
        <v>2</v>
      </c>
      <c r="I4499" s="6" t="s">
        <v>11692</v>
      </c>
      <c r="J4499" s="5">
        <v>644</v>
      </c>
    </row>
    <row r="4500" s="2" customFormat="1" spans="1:10">
      <c r="A4500" s="6">
        <f>4498</f>
        <v>4498</v>
      </c>
      <c r="B4500" s="6" t="s">
        <v>11693</v>
      </c>
      <c r="C4500" s="6" t="s">
        <v>12</v>
      </c>
      <c r="D4500" s="6" t="s">
        <v>11447</v>
      </c>
      <c r="E4500" s="6" t="s">
        <v>11626</v>
      </c>
      <c r="F4500" s="6" t="s">
        <v>11694</v>
      </c>
      <c r="G4500" s="6" t="s">
        <v>16</v>
      </c>
      <c r="H4500" s="5">
        <v>3</v>
      </c>
      <c r="I4500" s="6" t="s">
        <v>11695</v>
      </c>
      <c r="J4500" s="5">
        <v>808</v>
      </c>
    </row>
    <row r="4501" s="2" customFormat="1" spans="1:10">
      <c r="A4501" s="6">
        <f>4499</f>
        <v>4499</v>
      </c>
      <c r="B4501" s="6" t="s">
        <v>11696</v>
      </c>
      <c r="C4501" s="6" t="s">
        <v>12</v>
      </c>
      <c r="D4501" s="6" t="s">
        <v>11447</v>
      </c>
      <c r="E4501" s="6" t="s">
        <v>11626</v>
      </c>
      <c r="F4501" s="6" t="s">
        <v>11697</v>
      </c>
      <c r="G4501" s="6" t="s">
        <v>16</v>
      </c>
      <c r="H4501" s="5">
        <v>1</v>
      </c>
      <c r="I4501" s="6" t="s">
        <v>11697</v>
      </c>
      <c r="J4501" s="5">
        <v>238</v>
      </c>
    </row>
    <row r="4502" s="2" customFormat="1" spans="1:10">
      <c r="A4502" s="6">
        <f>4500</f>
        <v>4500</v>
      </c>
      <c r="B4502" s="6" t="s">
        <v>11698</v>
      </c>
      <c r="C4502" s="6" t="s">
        <v>12</v>
      </c>
      <c r="D4502" s="6" t="s">
        <v>11447</v>
      </c>
      <c r="E4502" s="6" t="s">
        <v>11626</v>
      </c>
      <c r="F4502" s="6" t="s">
        <v>11699</v>
      </c>
      <c r="G4502" s="6" t="s">
        <v>16</v>
      </c>
      <c r="H4502" s="5">
        <v>3</v>
      </c>
      <c r="I4502" s="6" t="s">
        <v>11700</v>
      </c>
      <c r="J4502" s="5">
        <v>721</v>
      </c>
    </row>
    <row r="4503" s="2" customFormat="1" spans="1:10">
      <c r="A4503" s="6">
        <f>4501</f>
        <v>4501</v>
      </c>
      <c r="B4503" s="6" t="s">
        <v>11701</v>
      </c>
      <c r="C4503" s="6" t="s">
        <v>12</v>
      </c>
      <c r="D4503" s="6" t="s">
        <v>11447</v>
      </c>
      <c r="E4503" s="6" t="s">
        <v>11626</v>
      </c>
      <c r="F4503" s="6" t="s">
        <v>11702</v>
      </c>
      <c r="G4503" s="6" t="s">
        <v>16</v>
      </c>
      <c r="H4503" s="5">
        <v>1</v>
      </c>
      <c r="I4503" s="6" t="s">
        <v>11702</v>
      </c>
      <c r="J4503" s="5">
        <v>265</v>
      </c>
    </row>
    <row r="4504" s="2" customFormat="1" spans="1:10">
      <c r="A4504" s="6">
        <f>4502</f>
        <v>4502</v>
      </c>
      <c r="B4504" s="6" t="s">
        <v>11703</v>
      </c>
      <c r="C4504" s="6" t="s">
        <v>12</v>
      </c>
      <c r="D4504" s="6" t="s">
        <v>11447</v>
      </c>
      <c r="E4504" s="6" t="s">
        <v>11626</v>
      </c>
      <c r="F4504" s="6" t="s">
        <v>11704</v>
      </c>
      <c r="G4504" s="6" t="s">
        <v>16</v>
      </c>
      <c r="H4504" s="5">
        <v>1</v>
      </c>
      <c r="I4504" s="6" t="s">
        <v>11704</v>
      </c>
      <c r="J4504" s="5">
        <v>198</v>
      </c>
    </row>
    <row r="4505" s="2" customFormat="1" spans="1:10">
      <c r="A4505" s="6">
        <f>4503</f>
        <v>4503</v>
      </c>
      <c r="B4505" s="6" t="s">
        <v>11705</v>
      </c>
      <c r="C4505" s="6" t="s">
        <v>12</v>
      </c>
      <c r="D4505" s="6" t="s">
        <v>11447</v>
      </c>
      <c r="E4505" s="6" t="s">
        <v>11626</v>
      </c>
      <c r="F4505" s="6" t="s">
        <v>11706</v>
      </c>
      <c r="G4505" s="6" t="s">
        <v>16</v>
      </c>
      <c r="H4505" s="5">
        <v>2</v>
      </c>
      <c r="I4505" s="6" t="s">
        <v>11707</v>
      </c>
      <c r="J4505" s="5">
        <v>420</v>
      </c>
    </row>
    <row r="4506" s="2" customFormat="1" spans="1:10">
      <c r="A4506" s="6">
        <f>4504</f>
        <v>4504</v>
      </c>
      <c r="B4506" s="6" t="s">
        <v>11708</v>
      </c>
      <c r="C4506" s="6" t="s">
        <v>12</v>
      </c>
      <c r="D4506" s="6" t="s">
        <v>11447</v>
      </c>
      <c r="E4506" s="6" t="s">
        <v>11626</v>
      </c>
      <c r="F4506" s="6" t="s">
        <v>11709</v>
      </c>
      <c r="G4506" s="6" t="s">
        <v>16</v>
      </c>
      <c r="H4506" s="5">
        <v>1</v>
      </c>
      <c r="I4506" s="6" t="s">
        <v>11709</v>
      </c>
      <c r="J4506" s="5">
        <v>260</v>
      </c>
    </row>
    <row r="4507" s="2" customFormat="1" ht="27" spans="1:10">
      <c r="A4507" s="6">
        <f>4505</f>
        <v>4505</v>
      </c>
      <c r="B4507" s="6" t="s">
        <v>11710</v>
      </c>
      <c r="C4507" s="6" t="s">
        <v>12</v>
      </c>
      <c r="D4507" s="6" t="s">
        <v>11447</v>
      </c>
      <c r="E4507" s="6" t="s">
        <v>11626</v>
      </c>
      <c r="F4507" s="6" t="s">
        <v>11711</v>
      </c>
      <c r="G4507" s="6" t="s">
        <v>16</v>
      </c>
      <c r="H4507" s="5">
        <v>6</v>
      </c>
      <c r="I4507" s="6" t="s">
        <v>11712</v>
      </c>
      <c r="J4507" s="5">
        <v>1640</v>
      </c>
    </row>
    <row r="4508" s="2" customFormat="1" spans="1:10">
      <c r="A4508" s="6">
        <f>4506</f>
        <v>4506</v>
      </c>
      <c r="B4508" s="6" t="s">
        <v>11713</v>
      </c>
      <c r="C4508" s="6" t="s">
        <v>12</v>
      </c>
      <c r="D4508" s="6" t="s">
        <v>11447</v>
      </c>
      <c r="E4508" s="6" t="s">
        <v>11626</v>
      </c>
      <c r="F4508" s="6" t="s">
        <v>2016</v>
      </c>
      <c r="G4508" s="6" t="s">
        <v>16</v>
      </c>
      <c r="H4508" s="5">
        <v>1</v>
      </c>
      <c r="I4508" s="6" t="s">
        <v>2016</v>
      </c>
      <c r="J4508" s="5">
        <v>238</v>
      </c>
    </row>
    <row r="4509" s="2" customFormat="1" spans="1:10">
      <c r="A4509" s="6">
        <f>4507</f>
        <v>4507</v>
      </c>
      <c r="B4509" s="6" t="s">
        <v>11714</v>
      </c>
      <c r="C4509" s="6" t="s">
        <v>12</v>
      </c>
      <c r="D4509" s="6" t="s">
        <v>11447</v>
      </c>
      <c r="E4509" s="6" t="s">
        <v>11626</v>
      </c>
      <c r="F4509" s="6" t="s">
        <v>11715</v>
      </c>
      <c r="G4509" s="6" t="s">
        <v>16</v>
      </c>
      <c r="H4509" s="5">
        <v>2</v>
      </c>
      <c r="I4509" s="6" t="s">
        <v>11716</v>
      </c>
      <c r="J4509" s="5">
        <v>480</v>
      </c>
    </row>
    <row r="4510" s="2" customFormat="1" spans="1:10">
      <c r="A4510" s="6">
        <f>4508</f>
        <v>4508</v>
      </c>
      <c r="B4510" s="6" t="s">
        <v>11717</v>
      </c>
      <c r="C4510" s="6" t="s">
        <v>12</v>
      </c>
      <c r="D4510" s="6" t="s">
        <v>11447</v>
      </c>
      <c r="E4510" s="6" t="s">
        <v>11626</v>
      </c>
      <c r="F4510" s="6" t="s">
        <v>11718</v>
      </c>
      <c r="G4510" s="6" t="s">
        <v>16</v>
      </c>
      <c r="H4510" s="5">
        <v>2</v>
      </c>
      <c r="I4510" s="6" t="s">
        <v>11719</v>
      </c>
      <c r="J4510" s="5">
        <v>980</v>
      </c>
    </row>
    <row r="4511" s="2" customFormat="1" spans="1:10">
      <c r="A4511" s="6">
        <f>4509</f>
        <v>4509</v>
      </c>
      <c r="B4511" s="6" t="s">
        <v>11720</v>
      </c>
      <c r="C4511" s="6" t="s">
        <v>12</v>
      </c>
      <c r="D4511" s="6" t="s">
        <v>11447</v>
      </c>
      <c r="E4511" s="6" t="s">
        <v>11626</v>
      </c>
      <c r="F4511" s="6" t="s">
        <v>11721</v>
      </c>
      <c r="G4511" s="6" t="s">
        <v>16</v>
      </c>
      <c r="H4511" s="5">
        <v>3</v>
      </c>
      <c r="I4511" s="6" t="s">
        <v>11722</v>
      </c>
      <c r="J4511" s="5">
        <v>541</v>
      </c>
    </row>
    <row r="4512" s="2" customFormat="1" ht="27" spans="1:10">
      <c r="A4512" s="6">
        <f>4510</f>
        <v>4510</v>
      </c>
      <c r="B4512" s="6" t="s">
        <v>11723</v>
      </c>
      <c r="C4512" s="6" t="s">
        <v>12</v>
      </c>
      <c r="D4512" s="6" t="s">
        <v>11447</v>
      </c>
      <c r="E4512" s="6" t="s">
        <v>11626</v>
      </c>
      <c r="F4512" s="6" t="s">
        <v>11724</v>
      </c>
      <c r="G4512" s="6" t="s">
        <v>16</v>
      </c>
      <c r="H4512" s="5">
        <v>4</v>
      </c>
      <c r="I4512" s="6" t="s">
        <v>11725</v>
      </c>
      <c r="J4512" s="5">
        <v>1032</v>
      </c>
    </row>
    <row r="4513" s="2" customFormat="1" ht="27" spans="1:10">
      <c r="A4513" s="6">
        <f>4511</f>
        <v>4511</v>
      </c>
      <c r="B4513" s="6" t="s">
        <v>11726</v>
      </c>
      <c r="C4513" s="6" t="s">
        <v>12</v>
      </c>
      <c r="D4513" s="6" t="s">
        <v>11447</v>
      </c>
      <c r="E4513" s="6" t="s">
        <v>11626</v>
      </c>
      <c r="F4513" s="6" t="s">
        <v>11727</v>
      </c>
      <c r="G4513" s="6" t="s">
        <v>16</v>
      </c>
      <c r="H4513" s="5">
        <v>4</v>
      </c>
      <c r="I4513" s="6" t="s">
        <v>11728</v>
      </c>
      <c r="J4513" s="5">
        <v>560</v>
      </c>
    </row>
    <row r="4514" s="2" customFormat="1" ht="27" spans="1:10">
      <c r="A4514" s="6">
        <f>4512</f>
        <v>4512</v>
      </c>
      <c r="B4514" s="6" t="s">
        <v>11729</v>
      </c>
      <c r="C4514" s="6" t="s">
        <v>12</v>
      </c>
      <c r="D4514" s="6" t="s">
        <v>11447</v>
      </c>
      <c r="E4514" s="6" t="s">
        <v>11626</v>
      </c>
      <c r="F4514" s="6" t="s">
        <v>11730</v>
      </c>
      <c r="G4514" s="6" t="s">
        <v>16</v>
      </c>
      <c r="H4514" s="5">
        <v>5</v>
      </c>
      <c r="I4514" s="6" t="s">
        <v>11731</v>
      </c>
      <c r="J4514" s="5">
        <v>900</v>
      </c>
    </row>
    <row r="4515" s="2" customFormat="1" spans="1:10">
      <c r="A4515" s="6">
        <f>4513</f>
        <v>4513</v>
      </c>
      <c r="B4515" s="6" t="s">
        <v>11732</v>
      </c>
      <c r="C4515" s="6" t="s">
        <v>12</v>
      </c>
      <c r="D4515" s="6" t="s">
        <v>11447</v>
      </c>
      <c r="E4515" s="6" t="s">
        <v>11626</v>
      </c>
      <c r="F4515" s="6" t="s">
        <v>11733</v>
      </c>
      <c r="G4515" s="6" t="s">
        <v>16</v>
      </c>
      <c r="H4515" s="5">
        <v>1</v>
      </c>
      <c r="I4515" s="6" t="s">
        <v>11733</v>
      </c>
      <c r="J4515" s="5">
        <v>213</v>
      </c>
    </row>
    <row r="4516" s="2" customFormat="1" spans="1:10">
      <c r="A4516" s="6">
        <f>4514</f>
        <v>4514</v>
      </c>
      <c r="B4516" s="6" t="s">
        <v>11734</v>
      </c>
      <c r="C4516" s="6" t="s">
        <v>12</v>
      </c>
      <c r="D4516" s="6" t="s">
        <v>11447</v>
      </c>
      <c r="E4516" s="6" t="s">
        <v>11626</v>
      </c>
      <c r="F4516" s="6" t="s">
        <v>11735</v>
      </c>
      <c r="G4516" s="6" t="s">
        <v>16</v>
      </c>
      <c r="H4516" s="5">
        <v>1</v>
      </c>
      <c r="I4516" s="6" t="s">
        <v>11735</v>
      </c>
      <c r="J4516" s="5">
        <v>238</v>
      </c>
    </row>
    <row r="4517" s="2" customFormat="1" spans="1:10">
      <c r="A4517" s="6">
        <f>4515</f>
        <v>4515</v>
      </c>
      <c r="B4517" s="6" t="s">
        <v>11736</v>
      </c>
      <c r="C4517" s="6" t="s">
        <v>12</v>
      </c>
      <c r="D4517" s="6" t="s">
        <v>11447</v>
      </c>
      <c r="E4517" s="6" t="s">
        <v>11626</v>
      </c>
      <c r="F4517" s="6" t="s">
        <v>11737</v>
      </c>
      <c r="G4517" s="6" t="s">
        <v>16</v>
      </c>
      <c r="H4517" s="5">
        <v>2</v>
      </c>
      <c r="I4517" s="6" t="s">
        <v>11738</v>
      </c>
      <c r="J4517" s="5">
        <v>477</v>
      </c>
    </row>
    <row r="4518" s="2" customFormat="1" spans="1:10">
      <c r="A4518" s="6">
        <f>4516</f>
        <v>4516</v>
      </c>
      <c r="B4518" s="6" t="s">
        <v>11739</v>
      </c>
      <c r="C4518" s="6" t="s">
        <v>12</v>
      </c>
      <c r="D4518" s="6" t="s">
        <v>11447</v>
      </c>
      <c r="E4518" s="6" t="s">
        <v>11626</v>
      </c>
      <c r="F4518" s="6" t="s">
        <v>11740</v>
      </c>
      <c r="G4518" s="6" t="s">
        <v>16</v>
      </c>
      <c r="H4518" s="5">
        <v>1</v>
      </c>
      <c r="I4518" s="6" t="s">
        <v>11740</v>
      </c>
      <c r="J4518" s="5">
        <v>198</v>
      </c>
    </row>
    <row r="4519" s="2" customFormat="1" spans="1:10">
      <c r="A4519" s="6">
        <f>4517</f>
        <v>4517</v>
      </c>
      <c r="B4519" s="6" t="s">
        <v>11741</v>
      </c>
      <c r="C4519" s="6" t="s">
        <v>12</v>
      </c>
      <c r="D4519" s="6" t="s">
        <v>11447</v>
      </c>
      <c r="E4519" s="6" t="s">
        <v>11626</v>
      </c>
      <c r="F4519" s="6" t="s">
        <v>11742</v>
      </c>
      <c r="G4519" s="6" t="s">
        <v>16</v>
      </c>
      <c r="H4519" s="5">
        <v>1</v>
      </c>
      <c r="I4519" s="6" t="s">
        <v>11742</v>
      </c>
      <c r="J4519" s="5">
        <v>238</v>
      </c>
    </row>
    <row r="4520" s="2" customFormat="1" spans="1:10">
      <c r="A4520" s="6">
        <f>4518</f>
        <v>4518</v>
      </c>
      <c r="B4520" s="6" t="s">
        <v>11743</v>
      </c>
      <c r="C4520" s="6" t="s">
        <v>12</v>
      </c>
      <c r="D4520" s="6" t="s">
        <v>11447</v>
      </c>
      <c r="E4520" s="6" t="s">
        <v>11626</v>
      </c>
      <c r="F4520" s="6" t="s">
        <v>11744</v>
      </c>
      <c r="G4520" s="6" t="s">
        <v>16</v>
      </c>
      <c r="H4520" s="5">
        <v>1</v>
      </c>
      <c r="I4520" s="6" t="s">
        <v>11744</v>
      </c>
      <c r="J4520" s="5">
        <v>198</v>
      </c>
    </row>
    <row r="4521" s="2" customFormat="1" spans="1:10">
      <c r="A4521" s="6">
        <f>4519</f>
        <v>4519</v>
      </c>
      <c r="B4521" s="6" t="s">
        <v>11745</v>
      </c>
      <c r="C4521" s="6" t="s">
        <v>12</v>
      </c>
      <c r="D4521" s="6" t="s">
        <v>11447</v>
      </c>
      <c r="E4521" s="6" t="s">
        <v>11626</v>
      </c>
      <c r="F4521" s="6" t="s">
        <v>11746</v>
      </c>
      <c r="G4521" s="6" t="s">
        <v>16</v>
      </c>
      <c r="H4521" s="5">
        <v>1</v>
      </c>
      <c r="I4521" s="6" t="s">
        <v>11746</v>
      </c>
      <c r="J4521" s="5">
        <v>233</v>
      </c>
    </row>
    <row r="4522" s="2" customFormat="1" ht="27" spans="1:10">
      <c r="A4522" s="6">
        <f>4520</f>
        <v>4520</v>
      </c>
      <c r="B4522" s="6" t="s">
        <v>11747</v>
      </c>
      <c r="C4522" s="6" t="s">
        <v>12</v>
      </c>
      <c r="D4522" s="6" t="s">
        <v>11447</v>
      </c>
      <c r="E4522" s="6" t="s">
        <v>11626</v>
      </c>
      <c r="F4522" s="6" t="s">
        <v>11748</v>
      </c>
      <c r="G4522" s="6" t="s">
        <v>16</v>
      </c>
      <c r="H4522" s="5">
        <v>6</v>
      </c>
      <c r="I4522" s="6" t="s">
        <v>11749</v>
      </c>
      <c r="J4522" s="5">
        <v>600</v>
      </c>
    </row>
    <row r="4523" s="2" customFormat="1" spans="1:10">
      <c r="A4523" s="6">
        <f>4521</f>
        <v>4521</v>
      </c>
      <c r="B4523" s="6" t="s">
        <v>11750</v>
      </c>
      <c r="C4523" s="6" t="s">
        <v>12</v>
      </c>
      <c r="D4523" s="6" t="s">
        <v>11447</v>
      </c>
      <c r="E4523" s="6" t="s">
        <v>11626</v>
      </c>
      <c r="F4523" s="6" t="s">
        <v>11751</v>
      </c>
      <c r="G4523" s="6" t="s">
        <v>16</v>
      </c>
      <c r="H4523" s="5">
        <v>1</v>
      </c>
      <c r="I4523" s="6" t="s">
        <v>11751</v>
      </c>
      <c r="J4523" s="5">
        <v>238</v>
      </c>
    </row>
    <row r="4524" s="2" customFormat="1" spans="1:10">
      <c r="A4524" s="6">
        <f>4522</f>
        <v>4522</v>
      </c>
      <c r="B4524" s="6" t="s">
        <v>11752</v>
      </c>
      <c r="C4524" s="6" t="s">
        <v>12</v>
      </c>
      <c r="D4524" s="6" t="s">
        <v>11447</v>
      </c>
      <c r="E4524" s="6" t="s">
        <v>11626</v>
      </c>
      <c r="F4524" s="6" t="s">
        <v>11753</v>
      </c>
      <c r="G4524" s="6" t="s">
        <v>16</v>
      </c>
      <c r="H4524" s="5">
        <v>1</v>
      </c>
      <c r="I4524" s="6" t="s">
        <v>11753</v>
      </c>
      <c r="J4524" s="5">
        <v>235</v>
      </c>
    </row>
    <row r="4525" s="2" customFormat="1" spans="1:10">
      <c r="A4525" s="6">
        <f>4523</f>
        <v>4523</v>
      </c>
      <c r="B4525" s="6" t="s">
        <v>11754</v>
      </c>
      <c r="C4525" s="6" t="s">
        <v>12</v>
      </c>
      <c r="D4525" s="6" t="s">
        <v>11447</v>
      </c>
      <c r="E4525" s="6" t="s">
        <v>11626</v>
      </c>
      <c r="F4525" s="6" t="s">
        <v>11755</v>
      </c>
      <c r="G4525" s="6" t="s">
        <v>16</v>
      </c>
      <c r="H4525" s="5">
        <v>1</v>
      </c>
      <c r="I4525" s="6" t="s">
        <v>11755</v>
      </c>
      <c r="J4525" s="5">
        <v>200</v>
      </c>
    </row>
    <row r="4526" s="2" customFormat="1" spans="1:10">
      <c r="A4526" s="6">
        <f>4524</f>
        <v>4524</v>
      </c>
      <c r="B4526" s="6" t="s">
        <v>11756</v>
      </c>
      <c r="C4526" s="6" t="s">
        <v>12</v>
      </c>
      <c r="D4526" s="6" t="s">
        <v>11447</v>
      </c>
      <c r="E4526" s="6" t="s">
        <v>11626</v>
      </c>
      <c r="F4526" s="6" t="s">
        <v>11757</v>
      </c>
      <c r="G4526" s="6" t="s">
        <v>16</v>
      </c>
      <c r="H4526" s="5">
        <v>1</v>
      </c>
      <c r="I4526" s="6" t="s">
        <v>11757</v>
      </c>
      <c r="J4526" s="5">
        <v>550</v>
      </c>
    </row>
    <row r="4527" s="2" customFormat="1" spans="1:10">
      <c r="A4527" s="6">
        <f>4525</f>
        <v>4525</v>
      </c>
      <c r="B4527" s="6" t="s">
        <v>11758</v>
      </c>
      <c r="C4527" s="6" t="s">
        <v>12</v>
      </c>
      <c r="D4527" s="6" t="s">
        <v>11447</v>
      </c>
      <c r="E4527" s="6" t="s">
        <v>11626</v>
      </c>
      <c r="F4527" s="6" t="s">
        <v>11759</v>
      </c>
      <c r="G4527" s="6" t="s">
        <v>16</v>
      </c>
      <c r="H4527" s="5">
        <v>1</v>
      </c>
      <c r="I4527" s="6" t="s">
        <v>11759</v>
      </c>
      <c r="J4527" s="5">
        <v>275</v>
      </c>
    </row>
    <row r="4528" s="2" customFormat="1" spans="1:10">
      <c r="A4528" s="6">
        <f>4526</f>
        <v>4526</v>
      </c>
      <c r="B4528" s="6" t="s">
        <v>11760</v>
      </c>
      <c r="C4528" s="6" t="s">
        <v>12</v>
      </c>
      <c r="D4528" s="6" t="s">
        <v>11447</v>
      </c>
      <c r="E4528" s="6" t="s">
        <v>11626</v>
      </c>
      <c r="F4528" s="6" t="s">
        <v>11761</v>
      </c>
      <c r="G4528" s="6" t="s">
        <v>16</v>
      </c>
      <c r="H4528" s="5">
        <v>2</v>
      </c>
      <c r="I4528" s="6" t="s">
        <v>11762</v>
      </c>
      <c r="J4528" s="5">
        <v>298</v>
      </c>
    </row>
    <row r="4529" s="2" customFormat="1" spans="1:10">
      <c r="A4529" s="6">
        <f>4527</f>
        <v>4527</v>
      </c>
      <c r="B4529" s="6" t="s">
        <v>11763</v>
      </c>
      <c r="C4529" s="6" t="s">
        <v>12</v>
      </c>
      <c r="D4529" s="6" t="s">
        <v>11447</v>
      </c>
      <c r="E4529" s="6" t="s">
        <v>11626</v>
      </c>
      <c r="F4529" s="6" t="s">
        <v>11764</v>
      </c>
      <c r="G4529" s="6" t="s">
        <v>16</v>
      </c>
      <c r="H4529" s="5">
        <v>1</v>
      </c>
      <c r="I4529" s="6" t="s">
        <v>11764</v>
      </c>
      <c r="J4529" s="5">
        <v>420</v>
      </c>
    </row>
    <row r="4530" s="2" customFormat="1" spans="1:10">
      <c r="A4530" s="6">
        <f>4528</f>
        <v>4528</v>
      </c>
      <c r="B4530" s="6" t="s">
        <v>11765</v>
      </c>
      <c r="C4530" s="6" t="s">
        <v>12</v>
      </c>
      <c r="D4530" s="6" t="s">
        <v>11447</v>
      </c>
      <c r="E4530" s="6" t="s">
        <v>11626</v>
      </c>
      <c r="F4530" s="6" t="s">
        <v>11766</v>
      </c>
      <c r="G4530" s="6" t="s">
        <v>16</v>
      </c>
      <c r="H4530" s="5">
        <v>1</v>
      </c>
      <c r="I4530" s="6" t="s">
        <v>11766</v>
      </c>
      <c r="J4530" s="5">
        <v>238</v>
      </c>
    </row>
    <row r="4531" s="2" customFormat="1" spans="1:10">
      <c r="A4531" s="6">
        <f>4529</f>
        <v>4529</v>
      </c>
      <c r="B4531" s="6" t="s">
        <v>11767</v>
      </c>
      <c r="C4531" s="6" t="s">
        <v>12</v>
      </c>
      <c r="D4531" s="6" t="s">
        <v>11447</v>
      </c>
      <c r="E4531" s="6" t="s">
        <v>11626</v>
      </c>
      <c r="F4531" s="6" t="s">
        <v>11768</v>
      </c>
      <c r="G4531" s="6" t="s">
        <v>16</v>
      </c>
      <c r="H4531" s="5">
        <v>1</v>
      </c>
      <c r="I4531" s="6" t="s">
        <v>11768</v>
      </c>
      <c r="J4531" s="5">
        <v>310</v>
      </c>
    </row>
    <row r="4532" s="2" customFormat="1" spans="1:10">
      <c r="A4532" s="6">
        <f>4530</f>
        <v>4530</v>
      </c>
      <c r="B4532" s="6" t="s">
        <v>11769</v>
      </c>
      <c r="C4532" s="6" t="s">
        <v>12</v>
      </c>
      <c r="D4532" s="6" t="s">
        <v>11447</v>
      </c>
      <c r="E4532" s="6" t="s">
        <v>11626</v>
      </c>
      <c r="F4532" s="6" t="s">
        <v>11770</v>
      </c>
      <c r="G4532" s="6" t="s">
        <v>16</v>
      </c>
      <c r="H4532" s="5">
        <v>2</v>
      </c>
      <c r="I4532" s="6" t="s">
        <v>11771</v>
      </c>
      <c r="J4532" s="5">
        <v>530</v>
      </c>
    </row>
    <row r="4533" s="2" customFormat="1" ht="27" spans="1:10">
      <c r="A4533" s="6">
        <f>4531</f>
        <v>4531</v>
      </c>
      <c r="B4533" s="6" t="s">
        <v>11772</v>
      </c>
      <c r="C4533" s="6" t="s">
        <v>12</v>
      </c>
      <c r="D4533" s="6" t="s">
        <v>11447</v>
      </c>
      <c r="E4533" s="6" t="s">
        <v>11626</v>
      </c>
      <c r="F4533" s="6" t="s">
        <v>11773</v>
      </c>
      <c r="G4533" s="6" t="s">
        <v>16</v>
      </c>
      <c r="H4533" s="5">
        <v>4</v>
      </c>
      <c r="I4533" s="6" t="s">
        <v>11774</v>
      </c>
      <c r="J4533" s="5">
        <v>600</v>
      </c>
    </row>
    <row r="4534" s="2" customFormat="1" ht="27" spans="1:10">
      <c r="A4534" s="6">
        <f>4532</f>
        <v>4532</v>
      </c>
      <c r="B4534" s="6" t="s">
        <v>11775</v>
      </c>
      <c r="C4534" s="6" t="s">
        <v>12</v>
      </c>
      <c r="D4534" s="6" t="s">
        <v>11447</v>
      </c>
      <c r="E4534" s="6" t="s">
        <v>11626</v>
      </c>
      <c r="F4534" s="6" t="s">
        <v>3767</v>
      </c>
      <c r="G4534" s="6" t="s">
        <v>16</v>
      </c>
      <c r="H4534" s="5">
        <v>4</v>
      </c>
      <c r="I4534" s="6" t="s">
        <v>11776</v>
      </c>
      <c r="J4534" s="5">
        <v>502</v>
      </c>
    </row>
    <row r="4535" s="2" customFormat="1" spans="1:10">
      <c r="A4535" s="6">
        <f>4533</f>
        <v>4533</v>
      </c>
      <c r="B4535" s="6" t="s">
        <v>11777</v>
      </c>
      <c r="C4535" s="6" t="s">
        <v>12</v>
      </c>
      <c r="D4535" s="6" t="s">
        <v>11447</v>
      </c>
      <c r="E4535" s="6" t="s">
        <v>11626</v>
      </c>
      <c r="F4535" s="6" t="s">
        <v>11778</v>
      </c>
      <c r="G4535" s="6" t="s">
        <v>16</v>
      </c>
      <c r="H4535" s="5">
        <v>2</v>
      </c>
      <c r="I4535" s="6" t="s">
        <v>11779</v>
      </c>
      <c r="J4535" s="5">
        <v>472</v>
      </c>
    </row>
    <row r="4536" s="2" customFormat="1" spans="1:10">
      <c r="A4536" s="6">
        <f>4534</f>
        <v>4534</v>
      </c>
      <c r="B4536" s="6" t="s">
        <v>11780</v>
      </c>
      <c r="C4536" s="6" t="s">
        <v>12</v>
      </c>
      <c r="D4536" s="6" t="s">
        <v>11447</v>
      </c>
      <c r="E4536" s="6" t="s">
        <v>11781</v>
      </c>
      <c r="F4536" s="6" t="s">
        <v>11782</v>
      </c>
      <c r="G4536" s="6" t="s">
        <v>16</v>
      </c>
      <c r="H4536" s="5">
        <v>2</v>
      </c>
      <c r="I4536" s="6" t="s">
        <v>11783</v>
      </c>
      <c r="J4536" s="5">
        <v>820</v>
      </c>
    </row>
    <row r="4537" s="2" customFormat="1" ht="27" spans="1:10">
      <c r="A4537" s="6">
        <f>4535</f>
        <v>4535</v>
      </c>
      <c r="B4537" s="6" t="s">
        <v>11784</v>
      </c>
      <c r="C4537" s="6" t="s">
        <v>12</v>
      </c>
      <c r="D4537" s="6" t="s">
        <v>11447</v>
      </c>
      <c r="E4537" s="6" t="s">
        <v>11781</v>
      </c>
      <c r="F4537" s="6" t="s">
        <v>11785</v>
      </c>
      <c r="G4537" s="6" t="s">
        <v>16</v>
      </c>
      <c r="H4537" s="5">
        <v>4</v>
      </c>
      <c r="I4537" s="6" t="s">
        <v>11786</v>
      </c>
      <c r="J4537" s="5">
        <v>1040</v>
      </c>
    </row>
    <row r="4538" s="2" customFormat="1" spans="1:10">
      <c r="A4538" s="6">
        <f>4536</f>
        <v>4536</v>
      </c>
      <c r="B4538" s="6" t="s">
        <v>11787</v>
      </c>
      <c r="C4538" s="6" t="s">
        <v>12</v>
      </c>
      <c r="D4538" s="6" t="s">
        <v>11447</v>
      </c>
      <c r="E4538" s="6" t="s">
        <v>11781</v>
      </c>
      <c r="F4538" s="6" t="s">
        <v>11788</v>
      </c>
      <c r="G4538" s="6" t="s">
        <v>16</v>
      </c>
      <c r="H4538" s="5">
        <v>2</v>
      </c>
      <c r="I4538" s="6" t="s">
        <v>11789</v>
      </c>
      <c r="J4538" s="5">
        <v>880</v>
      </c>
    </row>
    <row r="4539" s="2" customFormat="1" ht="27" spans="1:10">
      <c r="A4539" s="6">
        <f>4537</f>
        <v>4537</v>
      </c>
      <c r="B4539" s="6" t="s">
        <v>11790</v>
      </c>
      <c r="C4539" s="6" t="s">
        <v>12</v>
      </c>
      <c r="D4539" s="6" t="s">
        <v>11447</v>
      </c>
      <c r="E4539" s="6" t="s">
        <v>11781</v>
      </c>
      <c r="F4539" s="6" t="s">
        <v>11791</v>
      </c>
      <c r="G4539" s="6" t="s">
        <v>16</v>
      </c>
      <c r="H4539" s="5">
        <v>4</v>
      </c>
      <c r="I4539" s="6" t="s">
        <v>11792</v>
      </c>
      <c r="J4539" s="5">
        <v>1460</v>
      </c>
    </row>
    <row r="4540" s="2" customFormat="1" spans="1:10">
      <c r="A4540" s="6">
        <f>4538</f>
        <v>4538</v>
      </c>
      <c r="B4540" s="6" t="s">
        <v>11793</v>
      </c>
      <c r="C4540" s="6" t="s">
        <v>12</v>
      </c>
      <c r="D4540" s="6" t="s">
        <v>11447</v>
      </c>
      <c r="E4540" s="6" t="s">
        <v>11781</v>
      </c>
      <c r="F4540" s="6" t="s">
        <v>11794</v>
      </c>
      <c r="G4540" s="6" t="s">
        <v>16</v>
      </c>
      <c r="H4540" s="5">
        <v>3</v>
      </c>
      <c r="I4540" s="6" t="s">
        <v>11795</v>
      </c>
      <c r="J4540" s="5">
        <v>600</v>
      </c>
    </row>
    <row r="4541" s="2" customFormat="1" ht="27" spans="1:10">
      <c r="A4541" s="6">
        <f>4539</f>
        <v>4539</v>
      </c>
      <c r="B4541" s="6" t="s">
        <v>11796</v>
      </c>
      <c r="C4541" s="6" t="s">
        <v>12</v>
      </c>
      <c r="D4541" s="6" t="s">
        <v>11447</v>
      </c>
      <c r="E4541" s="6" t="s">
        <v>11781</v>
      </c>
      <c r="F4541" s="6" t="s">
        <v>11797</v>
      </c>
      <c r="G4541" s="6" t="s">
        <v>16</v>
      </c>
      <c r="H4541" s="5">
        <v>5</v>
      </c>
      <c r="I4541" s="6" t="s">
        <v>11798</v>
      </c>
      <c r="J4541" s="5">
        <v>1295</v>
      </c>
    </row>
    <row r="4542" s="2" customFormat="1" spans="1:10">
      <c r="A4542" s="6">
        <f>4540</f>
        <v>4540</v>
      </c>
      <c r="B4542" s="6" t="s">
        <v>11799</v>
      </c>
      <c r="C4542" s="6" t="s">
        <v>12</v>
      </c>
      <c r="D4542" s="6" t="s">
        <v>11447</v>
      </c>
      <c r="E4542" s="6" t="s">
        <v>11781</v>
      </c>
      <c r="F4542" s="6" t="s">
        <v>11800</v>
      </c>
      <c r="G4542" s="6" t="s">
        <v>16</v>
      </c>
      <c r="H4542" s="5">
        <v>1</v>
      </c>
      <c r="I4542" s="6" t="s">
        <v>11800</v>
      </c>
      <c r="J4542" s="5">
        <v>230</v>
      </c>
    </row>
    <row r="4543" s="2" customFormat="1" ht="27" spans="1:10">
      <c r="A4543" s="6">
        <f>4541</f>
        <v>4541</v>
      </c>
      <c r="B4543" s="6" t="s">
        <v>11801</v>
      </c>
      <c r="C4543" s="6" t="s">
        <v>12</v>
      </c>
      <c r="D4543" s="6" t="s">
        <v>11447</v>
      </c>
      <c r="E4543" s="6" t="s">
        <v>11781</v>
      </c>
      <c r="F4543" s="6" t="s">
        <v>11802</v>
      </c>
      <c r="G4543" s="6" t="s">
        <v>16</v>
      </c>
      <c r="H4543" s="5">
        <v>4</v>
      </c>
      <c r="I4543" s="6" t="s">
        <v>11803</v>
      </c>
      <c r="J4543" s="5">
        <v>930</v>
      </c>
    </row>
    <row r="4544" s="2" customFormat="1" spans="1:10">
      <c r="A4544" s="6">
        <f>4542</f>
        <v>4542</v>
      </c>
      <c r="B4544" s="6" t="s">
        <v>11804</v>
      </c>
      <c r="C4544" s="6" t="s">
        <v>12</v>
      </c>
      <c r="D4544" s="6" t="s">
        <v>11447</v>
      </c>
      <c r="E4544" s="6" t="s">
        <v>11781</v>
      </c>
      <c r="F4544" s="6" t="s">
        <v>11805</v>
      </c>
      <c r="G4544" s="6" t="s">
        <v>16</v>
      </c>
      <c r="H4544" s="5">
        <v>2</v>
      </c>
      <c r="I4544" s="6" t="s">
        <v>11806</v>
      </c>
      <c r="J4544" s="5">
        <v>780</v>
      </c>
    </row>
    <row r="4545" s="2" customFormat="1" spans="1:10">
      <c r="A4545" s="6">
        <f>4543</f>
        <v>4543</v>
      </c>
      <c r="B4545" s="6" t="s">
        <v>11807</v>
      </c>
      <c r="C4545" s="6" t="s">
        <v>12</v>
      </c>
      <c r="D4545" s="6" t="s">
        <v>11447</v>
      </c>
      <c r="E4545" s="6" t="s">
        <v>11781</v>
      </c>
      <c r="F4545" s="6" t="s">
        <v>11808</v>
      </c>
      <c r="G4545" s="6" t="s">
        <v>16</v>
      </c>
      <c r="H4545" s="5">
        <v>1</v>
      </c>
      <c r="I4545" s="6" t="s">
        <v>11808</v>
      </c>
      <c r="J4545" s="5">
        <v>255</v>
      </c>
    </row>
    <row r="4546" s="2" customFormat="1" ht="27" spans="1:10">
      <c r="A4546" s="6">
        <f>4544</f>
        <v>4544</v>
      </c>
      <c r="B4546" s="6" t="s">
        <v>11809</v>
      </c>
      <c r="C4546" s="6" t="s">
        <v>12</v>
      </c>
      <c r="D4546" s="6" t="s">
        <v>11447</v>
      </c>
      <c r="E4546" s="6" t="s">
        <v>11781</v>
      </c>
      <c r="F4546" s="6" t="s">
        <v>11810</v>
      </c>
      <c r="G4546" s="6" t="s">
        <v>16</v>
      </c>
      <c r="H4546" s="5">
        <v>4</v>
      </c>
      <c r="I4546" s="6" t="s">
        <v>11811</v>
      </c>
      <c r="J4546" s="5">
        <v>1440</v>
      </c>
    </row>
    <row r="4547" s="2" customFormat="1" ht="27" spans="1:10">
      <c r="A4547" s="6">
        <f>4545</f>
        <v>4545</v>
      </c>
      <c r="B4547" s="6" t="s">
        <v>11812</v>
      </c>
      <c r="C4547" s="6" t="s">
        <v>12</v>
      </c>
      <c r="D4547" s="6" t="s">
        <v>11447</v>
      </c>
      <c r="E4547" s="6" t="s">
        <v>11781</v>
      </c>
      <c r="F4547" s="6" t="s">
        <v>11813</v>
      </c>
      <c r="G4547" s="6" t="s">
        <v>16</v>
      </c>
      <c r="H4547" s="5">
        <v>4</v>
      </c>
      <c r="I4547" s="6" t="s">
        <v>11814</v>
      </c>
      <c r="J4547" s="5">
        <v>970</v>
      </c>
    </row>
    <row r="4548" s="2" customFormat="1" spans="1:10">
      <c r="A4548" s="6">
        <f>4546</f>
        <v>4546</v>
      </c>
      <c r="B4548" s="6" t="s">
        <v>11815</v>
      </c>
      <c r="C4548" s="6" t="s">
        <v>12</v>
      </c>
      <c r="D4548" s="6" t="s">
        <v>11447</v>
      </c>
      <c r="E4548" s="6" t="s">
        <v>11781</v>
      </c>
      <c r="F4548" s="6" t="s">
        <v>4615</v>
      </c>
      <c r="G4548" s="6" t="s">
        <v>16</v>
      </c>
      <c r="H4548" s="5">
        <v>3</v>
      </c>
      <c r="I4548" s="6" t="s">
        <v>11816</v>
      </c>
      <c r="J4548" s="5">
        <v>774</v>
      </c>
    </row>
    <row r="4549" s="2" customFormat="1" spans="1:10">
      <c r="A4549" s="6">
        <f>4547</f>
        <v>4547</v>
      </c>
      <c r="B4549" s="6" t="s">
        <v>11817</v>
      </c>
      <c r="C4549" s="6" t="s">
        <v>12</v>
      </c>
      <c r="D4549" s="6" t="s">
        <v>11447</v>
      </c>
      <c r="E4549" s="6" t="s">
        <v>11781</v>
      </c>
      <c r="F4549" s="6" t="s">
        <v>11818</v>
      </c>
      <c r="G4549" s="6" t="s">
        <v>16</v>
      </c>
      <c r="H4549" s="5">
        <v>2</v>
      </c>
      <c r="I4549" s="6" t="s">
        <v>11819</v>
      </c>
      <c r="J4549" s="5">
        <v>1240</v>
      </c>
    </row>
    <row r="4550" s="2" customFormat="1" spans="1:10">
      <c r="A4550" s="6">
        <f>4548</f>
        <v>4548</v>
      </c>
      <c r="B4550" s="6" t="s">
        <v>11820</v>
      </c>
      <c r="C4550" s="6" t="s">
        <v>12</v>
      </c>
      <c r="D4550" s="6" t="s">
        <v>11447</v>
      </c>
      <c r="E4550" s="6" t="s">
        <v>11781</v>
      </c>
      <c r="F4550" s="6" t="s">
        <v>11821</v>
      </c>
      <c r="G4550" s="6" t="s">
        <v>16</v>
      </c>
      <c r="H4550" s="5">
        <v>2</v>
      </c>
      <c r="I4550" s="6" t="s">
        <v>11822</v>
      </c>
      <c r="J4550" s="5">
        <v>486</v>
      </c>
    </row>
    <row r="4551" s="2" customFormat="1" spans="1:10">
      <c r="A4551" s="6">
        <f>4549</f>
        <v>4549</v>
      </c>
      <c r="B4551" s="6" t="s">
        <v>11823</v>
      </c>
      <c r="C4551" s="6" t="s">
        <v>12</v>
      </c>
      <c r="D4551" s="6" t="s">
        <v>11447</v>
      </c>
      <c r="E4551" s="6" t="s">
        <v>11781</v>
      </c>
      <c r="F4551" s="6" t="s">
        <v>11824</v>
      </c>
      <c r="G4551" s="6" t="s">
        <v>16</v>
      </c>
      <c r="H4551" s="5">
        <v>1</v>
      </c>
      <c r="I4551" s="6" t="s">
        <v>11824</v>
      </c>
      <c r="J4551" s="5">
        <v>430</v>
      </c>
    </row>
    <row r="4552" s="2" customFormat="1" spans="1:10">
      <c r="A4552" s="6">
        <f>4550</f>
        <v>4550</v>
      </c>
      <c r="B4552" s="6" t="s">
        <v>11825</v>
      </c>
      <c r="C4552" s="6" t="s">
        <v>12</v>
      </c>
      <c r="D4552" s="6" t="s">
        <v>11447</v>
      </c>
      <c r="E4552" s="6" t="s">
        <v>11781</v>
      </c>
      <c r="F4552" s="6" t="s">
        <v>11788</v>
      </c>
      <c r="G4552" s="6" t="s">
        <v>16</v>
      </c>
      <c r="H4552" s="5">
        <v>1</v>
      </c>
      <c r="I4552" s="6" t="s">
        <v>11788</v>
      </c>
      <c r="J4552" s="5">
        <v>620</v>
      </c>
    </row>
    <row r="4553" s="2" customFormat="1" spans="1:10">
      <c r="A4553" s="6">
        <f>4551</f>
        <v>4551</v>
      </c>
      <c r="B4553" s="6" t="s">
        <v>11826</v>
      </c>
      <c r="C4553" s="6" t="s">
        <v>12</v>
      </c>
      <c r="D4553" s="6" t="s">
        <v>11447</v>
      </c>
      <c r="E4553" s="6" t="s">
        <v>11781</v>
      </c>
      <c r="F4553" s="6" t="s">
        <v>11827</v>
      </c>
      <c r="G4553" s="6" t="s">
        <v>16</v>
      </c>
      <c r="H4553" s="5">
        <v>1</v>
      </c>
      <c r="I4553" s="6" t="s">
        <v>11827</v>
      </c>
      <c r="J4553" s="5">
        <v>238</v>
      </c>
    </row>
    <row r="4554" s="2" customFormat="1" ht="27" spans="1:10">
      <c r="A4554" s="6">
        <f>4552</f>
        <v>4552</v>
      </c>
      <c r="B4554" s="6" t="s">
        <v>11828</v>
      </c>
      <c r="C4554" s="6" t="s">
        <v>12</v>
      </c>
      <c r="D4554" s="6" t="s">
        <v>11447</v>
      </c>
      <c r="E4554" s="6" t="s">
        <v>11781</v>
      </c>
      <c r="F4554" s="6" t="s">
        <v>11829</v>
      </c>
      <c r="G4554" s="6" t="s">
        <v>16</v>
      </c>
      <c r="H4554" s="5">
        <v>5</v>
      </c>
      <c r="I4554" s="6" t="s">
        <v>11830</v>
      </c>
      <c r="J4554" s="5">
        <v>1360</v>
      </c>
    </row>
    <row r="4555" s="2" customFormat="1" ht="27" spans="1:10">
      <c r="A4555" s="6">
        <f>4553</f>
        <v>4553</v>
      </c>
      <c r="B4555" s="6" t="s">
        <v>11831</v>
      </c>
      <c r="C4555" s="6" t="s">
        <v>12</v>
      </c>
      <c r="D4555" s="6" t="s">
        <v>11447</v>
      </c>
      <c r="E4555" s="6" t="s">
        <v>11781</v>
      </c>
      <c r="F4555" s="6" t="s">
        <v>11832</v>
      </c>
      <c r="G4555" s="6" t="s">
        <v>16</v>
      </c>
      <c r="H4555" s="5">
        <v>4</v>
      </c>
      <c r="I4555" s="6" t="s">
        <v>11833</v>
      </c>
      <c r="J4555" s="5">
        <v>1860</v>
      </c>
    </row>
    <row r="4556" s="2" customFormat="1" ht="27" spans="1:10">
      <c r="A4556" s="6">
        <f>4554</f>
        <v>4554</v>
      </c>
      <c r="B4556" s="6" t="s">
        <v>11834</v>
      </c>
      <c r="C4556" s="6" t="s">
        <v>12</v>
      </c>
      <c r="D4556" s="6" t="s">
        <v>11447</v>
      </c>
      <c r="E4556" s="6" t="s">
        <v>11781</v>
      </c>
      <c r="F4556" s="6" t="s">
        <v>11835</v>
      </c>
      <c r="G4556" s="6" t="s">
        <v>16</v>
      </c>
      <c r="H4556" s="5">
        <v>4</v>
      </c>
      <c r="I4556" s="6" t="s">
        <v>11836</v>
      </c>
      <c r="J4556" s="5">
        <v>957</v>
      </c>
    </row>
    <row r="4557" s="2" customFormat="1" spans="1:10">
      <c r="A4557" s="6">
        <f>4555</f>
        <v>4555</v>
      </c>
      <c r="B4557" s="6" t="s">
        <v>11837</v>
      </c>
      <c r="C4557" s="6" t="s">
        <v>12</v>
      </c>
      <c r="D4557" s="6" t="s">
        <v>11447</v>
      </c>
      <c r="E4557" s="6" t="s">
        <v>11781</v>
      </c>
      <c r="F4557" s="6" t="s">
        <v>11838</v>
      </c>
      <c r="G4557" s="6" t="s">
        <v>16</v>
      </c>
      <c r="H4557" s="5">
        <v>2</v>
      </c>
      <c r="I4557" s="6" t="s">
        <v>11839</v>
      </c>
      <c r="J4557" s="5">
        <v>640</v>
      </c>
    </row>
    <row r="4558" s="2" customFormat="1" spans="1:10">
      <c r="A4558" s="6">
        <f>4556</f>
        <v>4556</v>
      </c>
      <c r="B4558" s="6" t="s">
        <v>11840</v>
      </c>
      <c r="C4558" s="6" t="s">
        <v>12</v>
      </c>
      <c r="D4558" s="6" t="s">
        <v>11447</v>
      </c>
      <c r="E4558" s="6" t="s">
        <v>11841</v>
      </c>
      <c r="F4558" s="6" t="s">
        <v>11842</v>
      </c>
      <c r="G4558" s="6" t="s">
        <v>16</v>
      </c>
      <c r="H4558" s="5">
        <v>1</v>
      </c>
      <c r="I4558" s="6" t="s">
        <v>11842</v>
      </c>
      <c r="J4558" s="5">
        <v>620</v>
      </c>
    </row>
    <row r="4559" s="2" customFormat="1" ht="27" spans="1:10">
      <c r="A4559" s="6">
        <f>4557</f>
        <v>4557</v>
      </c>
      <c r="B4559" s="6" t="s">
        <v>11843</v>
      </c>
      <c r="C4559" s="6" t="s">
        <v>12</v>
      </c>
      <c r="D4559" s="6" t="s">
        <v>11447</v>
      </c>
      <c r="E4559" s="6" t="s">
        <v>11841</v>
      </c>
      <c r="F4559" s="6" t="s">
        <v>11844</v>
      </c>
      <c r="G4559" s="6" t="s">
        <v>16</v>
      </c>
      <c r="H4559" s="5">
        <v>5</v>
      </c>
      <c r="I4559" s="6" t="s">
        <v>11845</v>
      </c>
      <c r="J4559" s="5">
        <v>1750</v>
      </c>
    </row>
    <row r="4560" s="2" customFormat="1" spans="1:10">
      <c r="A4560" s="6">
        <f>4558</f>
        <v>4558</v>
      </c>
      <c r="B4560" s="6" t="s">
        <v>11846</v>
      </c>
      <c r="C4560" s="6" t="s">
        <v>12</v>
      </c>
      <c r="D4560" s="6" t="s">
        <v>11447</v>
      </c>
      <c r="E4560" s="6" t="s">
        <v>11841</v>
      </c>
      <c r="F4560" s="6" t="s">
        <v>11847</v>
      </c>
      <c r="G4560" s="6" t="s">
        <v>16</v>
      </c>
      <c r="H4560" s="5">
        <v>1</v>
      </c>
      <c r="I4560" s="6" t="s">
        <v>11847</v>
      </c>
      <c r="J4560" s="5">
        <v>300</v>
      </c>
    </row>
    <row r="4561" s="2" customFormat="1" spans="1:10">
      <c r="A4561" s="6">
        <f>4559</f>
        <v>4559</v>
      </c>
      <c r="B4561" s="6" t="s">
        <v>11848</v>
      </c>
      <c r="C4561" s="6" t="s">
        <v>12</v>
      </c>
      <c r="D4561" s="6" t="s">
        <v>11447</v>
      </c>
      <c r="E4561" s="6" t="s">
        <v>11841</v>
      </c>
      <c r="F4561" s="6" t="s">
        <v>11849</v>
      </c>
      <c r="G4561" s="6" t="s">
        <v>16</v>
      </c>
      <c r="H4561" s="5">
        <v>1</v>
      </c>
      <c r="I4561" s="6" t="s">
        <v>11849</v>
      </c>
      <c r="J4561" s="5">
        <v>550</v>
      </c>
    </row>
    <row r="4562" s="2" customFormat="1" spans="1:10">
      <c r="A4562" s="6">
        <f>4560</f>
        <v>4560</v>
      </c>
      <c r="B4562" s="6" t="s">
        <v>11850</v>
      </c>
      <c r="C4562" s="6" t="s">
        <v>12</v>
      </c>
      <c r="D4562" s="6" t="s">
        <v>11447</v>
      </c>
      <c r="E4562" s="6" t="s">
        <v>11841</v>
      </c>
      <c r="F4562" s="6" t="s">
        <v>11851</v>
      </c>
      <c r="G4562" s="6" t="s">
        <v>16</v>
      </c>
      <c r="H4562" s="5">
        <v>1</v>
      </c>
      <c r="I4562" s="6" t="s">
        <v>11851</v>
      </c>
      <c r="J4562" s="5">
        <v>580</v>
      </c>
    </row>
    <row r="4563" s="2" customFormat="1" spans="1:10">
      <c r="A4563" s="6">
        <f>4561</f>
        <v>4561</v>
      </c>
      <c r="B4563" s="6" t="s">
        <v>11852</v>
      </c>
      <c r="C4563" s="6" t="s">
        <v>12</v>
      </c>
      <c r="D4563" s="6" t="s">
        <v>11447</v>
      </c>
      <c r="E4563" s="6" t="s">
        <v>11841</v>
      </c>
      <c r="F4563" s="6" t="s">
        <v>11853</v>
      </c>
      <c r="G4563" s="6" t="s">
        <v>16</v>
      </c>
      <c r="H4563" s="5">
        <v>1</v>
      </c>
      <c r="I4563" s="6" t="s">
        <v>11853</v>
      </c>
      <c r="J4563" s="5">
        <v>570</v>
      </c>
    </row>
    <row r="4564" s="2" customFormat="1" spans="1:10">
      <c r="A4564" s="6">
        <f>4562</f>
        <v>4562</v>
      </c>
      <c r="B4564" s="6" t="s">
        <v>11854</v>
      </c>
      <c r="C4564" s="6" t="s">
        <v>12</v>
      </c>
      <c r="D4564" s="6" t="s">
        <v>11447</v>
      </c>
      <c r="E4564" s="6" t="s">
        <v>11841</v>
      </c>
      <c r="F4564" s="6" t="s">
        <v>11855</v>
      </c>
      <c r="G4564" s="6" t="s">
        <v>16</v>
      </c>
      <c r="H4564" s="5">
        <v>1</v>
      </c>
      <c r="I4564" s="6" t="s">
        <v>11855</v>
      </c>
      <c r="J4564" s="5">
        <v>295</v>
      </c>
    </row>
    <row r="4565" s="2" customFormat="1" spans="1:10">
      <c r="A4565" s="6">
        <f>4563</f>
        <v>4563</v>
      </c>
      <c r="B4565" s="6" t="s">
        <v>11856</v>
      </c>
      <c r="C4565" s="6" t="s">
        <v>12</v>
      </c>
      <c r="D4565" s="6" t="s">
        <v>11447</v>
      </c>
      <c r="E4565" s="6" t="s">
        <v>11841</v>
      </c>
      <c r="F4565" s="6" t="s">
        <v>11857</v>
      </c>
      <c r="G4565" s="6" t="s">
        <v>16</v>
      </c>
      <c r="H4565" s="5">
        <v>1</v>
      </c>
      <c r="I4565" s="6" t="s">
        <v>11857</v>
      </c>
      <c r="J4565" s="5">
        <v>580</v>
      </c>
    </row>
    <row r="4566" s="2" customFormat="1" ht="27" spans="1:10">
      <c r="A4566" s="6">
        <f>4564</f>
        <v>4564</v>
      </c>
      <c r="B4566" s="6" t="s">
        <v>11858</v>
      </c>
      <c r="C4566" s="6" t="s">
        <v>12</v>
      </c>
      <c r="D4566" s="6" t="s">
        <v>11447</v>
      </c>
      <c r="E4566" s="6" t="s">
        <v>11841</v>
      </c>
      <c r="F4566" s="6" t="s">
        <v>11859</v>
      </c>
      <c r="G4566" s="6" t="s">
        <v>16</v>
      </c>
      <c r="H4566" s="5">
        <v>4</v>
      </c>
      <c r="I4566" s="6" t="s">
        <v>11860</v>
      </c>
      <c r="J4566" s="5">
        <v>976</v>
      </c>
    </row>
    <row r="4567" s="2" customFormat="1" ht="27" spans="1:10">
      <c r="A4567" s="6">
        <f>4565</f>
        <v>4565</v>
      </c>
      <c r="B4567" s="6" t="s">
        <v>11861</v>
      </c>
      <c r="C4567" s="6" t="s">
        <v>12</v>
      </c>
      <c r="D4567" s="6" t="s">
        <v>11447</v>
      </c>
      <c r="E4567" s="6" t="s">
        <v>11841</v>
      </c>
      <c r="F4567" s="6" t="s">
        <v>11862</v>
      </c>
      <c r="G4567" s="6" t="s">
        <v>16</v>
      </c>
      <c r="H4567" s="5">
        <v>5</v>
      </c>
      <c r="I4567" s="6" t="s">
        <v>11863</v>
      </c>
      <c r="J4567" s="5">
        <v>950</v>
      </c>
    </row>
    <row r="4568" s="2" customFormat="1" spans="1:10">
      <c r="A4568" s="6">
        <f>4566</f>
        <v>4566</v>
      </c>
      <c r="B4568" s="6" t="s">
        <v>11864</v>
      </c>
      <c r="C4568" s="6" t="s">
        <v>12</v>
      </c>
      <c r="D4568" s="6" t="s">
        <v>11447</v>
      </c>
      <c r="E4568" s="6" t="s">
        <v>11841</v>
      </c>
      <c r="F4568" s="6" t="s">
        <v>11865</v>
      </c>
      <c r="G4568" s="6" t="s">
        <v>16</v>
      </c>
      <c r="H4568" s="5">
        <v>2</v>
      </c>
      <c r="I4568" s="6" t="s">
        <v>11866</v>
      </c>
      <c r="J4568" s="5">
        <v>520</v>
      </c>
    </row>
    <row r="4569" s="2" customFormat="1" spans="1:10">
      <c r="A4569" s="6">
        <f>4567</f>
        <v>4567</v>
      </c>
      <c r="B4569" s="6" t="s">
        <v>11867</v>
      </c>
      <c r="C4569" s="6" t="s">
        <v>12</v>
      </c>
      <c r="D4569" s="6" t="s">
        <v>11447</v>
      </c>
      <c r="E4569" s="6" t="s">
        <v>11841</v>
      </c>
      <c r="F4569" s="6" t="s">
        <v>11868</v>
      </c>
      <c r="G4569" s="6" t="s">
        <v>16</v>
      </c>
      <c r="H4569" s="5">
        <v>2</v>
      </c>
      <c r="I4569" s="6" t="s">
        <v>11869</v>
      </c>
      <c r="J4569" s="5">
        <v>980</v>
      </c>
    </row>
    <row r="4570" s="2" customFormat="1" ht="27" spans="1:10">
      <c r="A4570" s="6">
        <f>4568</f>
        <v>4568</v>
      </c>
      <c r="B4570" s="6" t="s">
        <v>11870</v>
      </c>
      <c r="C4570" s="6" t="s">
        <v>12</v>
      </c>
      <c r="D4570" s="6" t="s">
        <v>11447</v>
      </c>
      <c r="E4570" s="6" t="s">
        <v>11841</v>
      </c>
      <c r="F4570" s="6" t="s">
        <v>11871</v>
      </c>
      <c r="G4570" s="6" t="s">
        <v>16</v>
      </c>
      <c r="H4570" s="5">
        <v>4</v>
      </c>
      <c r="I4570" s="6" t="s">
        <v>11872</v>
      </c>
      <c r="J4570" s="5">
        <v>1040</v>
      </c>
    </row>
    <row r="4571" s="2" customFormat="1" ht="27" spans="1:10">
      <c r="A4571" s="6">
        <f>4569</f>
        <v>4569</v>
      </c>
      <c r="B4571" s="6" t="s">
        <v>11873</v>
      </c>
      <c r="C4571" s="6" t="s">
        <v>12</v>
      </c>
      <c r="D4571" s="6" t="s">
        <v>11447</v>
      </c>
      <c r="E4571" s="6" t="s">
        <v>11841</v>
      </c>
      <c r="F4571" s="6" t="s">
        <v>11874</v>
      </c>
      <c r="G4571" s="6" t="s">
        <v>16</v>
      </c>
      <c r="H4571" s="5">
        <v>4</v>
      </c>
      <c r="I4571" s="6" t="s">
        <v>11875</v>
      </c>
      <c r="J4571" s="5">
        <v>1560</v>
      </c>
    </row>
    <row r="4572" s="2" customFormat="1" spans="1:10">
      <c r="A4572" s="6">
        <f>4570</f>
        <v>4570</v>
      </c>
      <c r="B4572" s="6" t="s">
        <v>11876</v>
      </c>
      <c r="C4572" s="6" t="s">
        <v>12</v>
      </c>
      <c r="D4572" s="6" t="s">
        <v>11447</v>
      </c>
      <c r="E4572" s="6" t="s">
        <v>11841</v>
      </c>
      <c r="F4572" s="6" t="s">
        <v>11877</v>
      </c>
      <c r="G4572" s="6" t="s">
        <v>16</v>
      </c>
      <c r="H4572" s="5">
        <v>1</v>
      </c>
      <c r="I4572" s="6" t="s">
        <v>11877</v>
      </c>
      <c r="J4572" s="5">
        <v>255</v>
      </c>
    </row>
    <row r="4573" s="2" customFormat="1" spans="1:10">
      <c r="A4573" s="6">
        <f>4571</f>
        <v>4571</v>
      </c>
      <c r="B4573" s="6" t="s">
        <v>11878</v>
      </c>
      <c r="C4573" s="6" t="s">
        <v>12</v>
      </c>
      <c r="D4573" s="6" t="s">
        <v>11447</v>
      </c>
      <c r="E4573" s="6" t="s">
        <v>11841</v>
      </c>
      <c r="F4573" s="6" t="s">
        <v>11879</v>
      </c>
      <c r="G4573" s="6" t="s">
        <v>16</v>
      </c>
      <c r="H4573" s="5">
        <v>1</v>
      </c>
      <c r="I4573" s="6" t="s">
        <v>11879</v>
      </c>
      <c r="J4573" s="5">
        <v>238</v>
      </c>
    </row>
    <row r="4574" s="2" customFormat="1" spans="1:10">
      <c r="A4574" s="6">
        <f>4572</f>
        <v>4572</v>
      </c>
      <c r="B4574" s="6" t="s">
        <v>11880</v>
      </c>
      <c r="C4574" s="6" t="s">
        <v>12</v>
      </c>
      <c r="D4574" s="6" t="s">
        <v>11447</v>
      </c>
      <c r="E4574" s="6" t="s">
        <v>11841</v>
      </c>
      <c r="F4574" s="6" t="s">
        <v>11881</v>
      </c>
      <c r="G4574" s="6" t="s">
        <v>16</v>
      </c>
      <c r="H4574" s="5">
        <v>2</v>
      </c>
      <c r="I4574" s="6" t="s">
        <v>11882</v>
      </c>
      <c r="J4574" s="5">
        <v>710</v>
      </c>
    </row>
    <row r="4575" s="2" customFormat="1" spans="1:10">
      <c r="A4575" s="6">
        <f>4573</f>
        <v>4573</v>
      </c>
      <c r="B4575" s="6" t="s">
        <v>11883</v>
      </c>
      <c r="C4575" s="6" t="s">
        <v>12</v>
      </c>
      <c r="D4575" s="6" t="s">
        <v>11447</v>
      </c>
      <c r="E4575" s="6" t="s">
        <v>11841</v>
      </c>
      <c r="F4575" s="6" t="s">
        <v>11884</v>
      </c>
      <c r="G4575" s="6" t="s">
        <v>16</v>
      </c>
      <c r="H4575" s="5">
        <v>1</v>
      </c>
      <c r="I4575" s="6" t="s">
        <v>11884</v>
      </c>
      <c r="J4575" s="5">
        <v>270</v>
      </c>
    </row>
    <row r="4576" s="2" customFormat="1" spans="1:10">
      <c r="A4576" s="6">
        <f>4574</f>
        <v>4574</v>
      </c>
      <c r="B4576" s="6" t="s">
        <v>11885</v>
      </c>
      <c r="C4576" s="6" t="s">
        <v>12</v>
      </c>
      <c r="D4576" s="6" t="s">
        <v>11447</v>
      </c>
      <c r="E4576" s="6" t="s">
        <v>11841</v>
      </c>
      <c r="F4576" s="6" t="s">
        <v>11886</v>
      </c>
      <c r="G4576" s="6" t="s">
        <v>16</v>
      </c>
      <c r="H4576" s="5">
        <v>1</v>
      </c>
      <c r="I4576" s="6" t="s">
        <v>11886</v>
      </c>
      <c r="J4576" s="5">
        <v>238</v>
      </c>
    </row>
    <row r="4577" s="2" customFormat="1" spans="1:10">
      <c r="A4577" s="6">
        <f>4575</f>
        <v>4575</v>
      </c>
      <c r="B4577" s="6" t="s">
        <v>11887</v>
      </c>
      <c r="C4577" s="6" t="s">
        <v>12</v>
      </c>
      <c r="D4577" s="6" t="s">
        <v>11447</v>
      </c>
      <c r="E4577" s="6" t="s">
        <v>11841</v>
      </c>
      <c r="F4577" s="6" t="s">
        <v>11888</v>
      </c>
      <c r="G4577" s="6" t="s">
        <v>16</v>
      </c>
      <c r="H4577" s="5">
        <v>2</v>
      </c>
      <c r="I4577" s="6" t="s">
        <v>11889</v>
      </c>
      <c r="J4577" s="5">
        <v>530</v>
      </c>
    </row>
    <row r="4578" s="2" customFormat="1" spans="1:10">
      <c r="A4578" s="6">
        <f>4576</f>
        <v>4576</v>
      </c>
      <c r="B4578" s="6" t="s">
        <v>11890</v>
      </c>
      <c r="C4578" s="6" t="s">
        <v>12</v>
      </c>
      <c r="D4578" s="6" t="s">
        <v>11447</v>
      </c>
      <c r="E4578" s="6" t="s">
        <v>11841</v>
      </c>
      <c r="F4578" s="6" t="s">
        <v>11891</v>
      </c>
      <c r="G4578" s="6" t="s">
        <v>16</v>
      </c>
      <c r="H4578" s="5">
        <v>1</v>
      </c>
      <c r="I4578" s="6" t="s">
        <v>11891</v>
      </c>
      <c r="J4578" s="5">
        <v>340</v>
      </c>
    </row>
    <row r="4579" s="2" customFormat="1" spans="1:10">
      <c r="A4579" s="6">
        <f>4577</f>
        <v>4577</v>
      </c>
      <c r="B4579" s="6" t="s">
        <v>11892</v>
      </c>
      <c r="C4579" s="6" t="s">
        <v>12</v>
      </c>
      <c r="D4579" s="6" t="s">
        <v>11447</v>
      </c>
      <c r="E4579" s="6" t="s">
        <v>11841</v>
      </c>
      <c r="F4579" s="6" t="s">
        <v>11893</v>
      </c>
      <c r="G4579" s="6" t="s">
        <v>16</v>
      </c>
      <c r="H4579" s="5">
        <v>1</v>
      </c>
      <c r="I4579" s="6" t="s">
        <v>11893</v>
      </c>
      <c r="J4579" s="5">
        <v>365</v>
      </c>
    </row>
    <row r="4580" s="2" customFormat="1" ht="27" spans="1:10">
      <c r="A4580" s="6">
        <f>4578</f>
        <v>4578</v>
      </c>
      <c r="B4580" s="6" t="s">
        <v>11894</v>
      </c>
      <c r="C4580" s="6" t="s">
        <v>12</v>
      </c>
      <c r="D4580" s="6" t="s">
        <v>11447</v>
      </c>
      <c r="E4580" s="6" t="s">
        <v>11841</v>
      </c>
      <c r="F4580" s="6" t="s">
        <v>11895</v>
      </c>
      <c r="G4580" s="6" t="s">
        <v>16</v>
      </c>
      <c r="H4580" s="5">
        <v>4</v>
      </c>
      <c r="I4580" s="6" t="s">
        <v>11896</v>
      </c>
      <c r="J4580" s="5">
        <v>1560</v>
      </c>
    </row>
    <row r="4581" s="2" customFormat="1" spans="1:10">
      <c r="A4581" s="6">
        <f>4579</f>
        <v>4579</v>
      </c>
      <c r="B4581" s="6" t="s">
        <v>11897</v>
      </c>
      <c r="C4581" s="6" t="s">
        <v>12</v>
      </c>
      <c r="D4581" s="6" t="s">
        <v>11447</v>
      </c>
      <c r="E4581" s="6" t="s">
        <v>11841</v>
      </c>
      <c r="F4581" s="6" t="s">
        <v>11898</v>
      </c>
      <c r="G4581" s="6" t="s">
        <v>16</v>
      </c>
      <c r="H4581" s="5">
        <v>1</v>
      </c>
      <c r="I4581" s="6" t="s">
        <v>11898</v>
      </c>
      <c r="J4581" s="5">
        <v>260</v>
      </c>
    </row>
    <row r="4582" s="2" customFormat="1" spans="1:10">
      <c r="A4582" s="6">
        <f>4580</f>
        <v>4580</v>
      </c>
      <c r="B4582" s="6" t="s">
        <v>11899</v>
      </c>
      <c r="C4582" s="6" t="s">
        <v>12</v>
      </c>
      <c r="D4582" s="6" t="s">
        <v>11447</v>
      </c>
      <c r="E4582" s="6" t="s">
        <v>11841</v>
      </c>
      <c r="F4582" s="6" t="s">
        <v>11900</v>
      </c>
      <c r="G4582" s="6" t="s">
        <v>16</v>
      </c>
      <c r="H4582" s="5">
        <v>3</v>
      </c>
      <c r="I4582" s="6" t="s">
        <v>11901</v>
      </c>
      <c r="J4582" s="5">
        <v>886</v>
      </c>
    </row>
    <row r="4583" s="2" customFormat="1" spans="1:10">
      <c r="A4583" s="6">
        <f>4581</f>
        <v>4581</v>
      </c>
      <c r="B4583" s="6" t="s">
        <v>11902</v>
      </c>
      <c r="C4583" s="6" t="s">
        <v>12</v>
      </c>
      <c r="D4583" s="6" t="s">
        <v>11447</v>
      </c>
      <c r="E4583" s="6" t="s">
        <v>11841</v>
      </c>
      <c r="F4583" s="6" t="s">
        <v>11903</v>
      </c>
      <c r="G4583" s="6" t="s">
        <v>16</v>
      </c>
      <c r="H4583" s="5">
        <v>1</v>
      </c>
      <c r="I4583" s="6" t="s">
        <v>11903</v>
      </c>
      <c r="J4583" s="5">
        <v>238</v>
      </c>
    </row>
    <row r="4584" s="2" customFormat="1" spans="1:10">
      <c r="A4584" s="6">
        <f>4582</f>
        <v>4582</v>
      </c>
      <c r="B4584" s="6" t="s">
        <v>11904</v>
      </c>
      <c r="C4584" s="6" t="s">
        <v>12</v>
      </c>
      <c r="D4584" s="6" t="s">
        <v>11447</v>
      </c>
      <c r="E4584" s="6" t="s">
        <v>11841</v>
      </c>
      <c r="F4584" s="6" t="s">
        <v>300</v>
      </c>
      <c r="G4584" s="6" t="s">
        <v>16</v>
      </c>
      <c r="H4584" s="5">
        <v>1</v>
      </c>
      <c r="I4584" s="6" t="s">
        <v>300</v>
      </c>
      <c r="J4584" s="5">
        <v>238</v>
      </c>
    </row>
    <row r="4585" s="2" customFormat="1" spans="1:10">
      <c r="A4585" s="6">
        <f>4583</f>
        <v>4583</v>
      </c>
      <c r="B4585" s="6" t="s">
        <v>11905</v>
      </c>
      <c r="C4585" s="6" t="s">
        <v>12</v>
      </c>
      <c r="D4585" s="6" t="s">
        <v>11447</v>
      </c>
      <c r="E4585" s="6" t="s">
        <v>11841</v>
      </c>
      <c r="F4585" s="6" t="s">
        <v>11906</v>
      </c>
      <c r="G4585" s="6" t="s">
        <v>16</v>
      </c>
      <c r="H4585" s="5">
        <v>3</v>
      </c>
      <c r="I4585" s="6" t="s">
        <v>11907</v>
      </c>
      <c r="J4585" s="5">
        <v>715</v>
      </c>
    </row>
    <row r="4586" s="2" customFormat="1" spans="1:10">
      <c r="A4586" s="6">
        <f>4584</f>
        <v>4584</v>
      </c>
      <c r="B4586" s="6" t="s">
        <v>11908</v>
      </c>
      <c r="C4586" s="6" t="s">
        <v>12</v>
      </c>
      <c r="D4586" s="6" t="s">
        <v>11447</v>
      </c>
      <c r="E4586" s="6" t="s">
        <v>11841</v>
      </c>
      <c r="F4586" s="6" t="s">
        <v>11909</v>
      </c>
      <c r="G4586" s="6" t="s">
        <v>16</v>
      </c>
      <c r="H4586" s="5">
        <v>1</v>
      </c>
      <c r="I4586" s="6" t="s">
        <v>11909</v>
      </c>
      <c r="J4586" s="5">
        <v>310</v>
      </c>
    </row>
    <row r="4587" s="2" customFormat="1" spans="1:10">
      <c r="A4587" s="6">
        <f>4585</f>
        <v>4585</v>
      </c>
      <c r="B4587" s="6" t="s">
        <v>11910</v>
      </c>
      <c r="C4587" s="6" t="s">
        <v>12</v>
      </c>
      <c r="D4587" s="6" t="s">
        <v>11447</v>
      </c>
      <c r="E4587" s="6" t="s">
        <v>11841</v>
      </c>
      <c r="F4587" s="6" t="s">
        <v>11911</v>
      </c>
      <c r="G4587" s="6" t="s">
        <v>16</v>
      </c>
      <c r="H4587" s="5">
        <v>2</v>
      </c>
      <c r="I4587" s="6" t="s">
        <v>11912</v>
      </c>
      <c r="J4587" s="5">
        <v>466</v>
      </c>
    </row>
    <row r="4588" s="2" customFormat="1" spans="1:10">
      <c r="A4588" s="6">
        <f>4586</f>
        <v>4586</v>
      </c>
      <c r="B4588" s="6" t="s">
        <v>11913</v>
      </c>
      <c r="C4588" s="6" t="s">
        <v>12</v>
      </c>
      <c r="D4588" s="6" t="s">
        <v>11447</v>
      </c>
      <c r="E4588" s="6" t="s">
        <v>11841</v>
      </c>
      <c r="F4588" s="6" t="s">
        <v>11914</v>
      </c>
      <c r="G4588" s="6" t="s">
        <v>16</v>
      </c>
      <c r="H4588" s="5">
        <v>2</v>
      </c>
      <c r="I4588" s="6" t="s">
        <v>11915</v>
      </c>
      <c r="J4588" s="5">
        <v>376</v>
      </c>
    </row>
    <row r="4589" s="2" customFormat="1" spans="1:10">
      <c r="A4589" s="6">
        <f>4587</f>
        <v>4587</v>
      </c>
      <c r="B4589" s="6" t="s">
        <v>11916</v>
      </c>
      <c r="C4589" s="6" t="s">
        <v>12</v>
      </c>
      <c r="D4589" s="6" t="s">
        <v>11447</v>
      </c>
      <c r="E4589" s="6" t="s">
        <v>11841</v>
      </c>
      <c r="F4589" s="6" t="s">
        <v>11917</v>
      </c>
      <c r="G4589" s="6" t="s">
        <v>16</v>
      </c>
      <c r="H4589" s="5">
        <v>3</v>
      </c>
      <c r="I4589" s="6" t="s">
        <v>11918</v>
      </c>
      <c r="J4589" s="5">
        <v>740</v>
      </c>
    </row>
    <row r="4590" s="2" customFormat="1" spans="1:10">
      <c r="A4590" s="6">
        <f>4588</f>
        <v>4588</v>
      </c>
      <c r="B4590" s="6" t="s">
        <v>11919</v>
      </c>
      <c r="C4590" s="6" t="s">
        <v>12</v>
      </c>
      <c r="D4590" s="6" t="s">
        <v>11447</v>
      </c>
      <c r="E4590" s="6" t="s">
        <v>11841</v>
      </c>
      <c r="F4590" s="6" t="s">
        <v>11920</v>
      </c>
      <c r="G4590" s="6" t="s">
        <v>16</v>
      </c>
      <c r="H4590" s="5">
        <v>3</v>
      </c>
      <c r="I4590" s="6" t="s">
        <v>11921</v>
      </c>
      <c r="J4590" s="5">
        <v>878</v>
      </c>
    </row>
    <row r="4591" s="2" customFormat="1" spans="1:10">
      <c r="A4591" s="6">
        <f>4589</f>
        <v>4589</v>
      </c>
      <c r="B4591" s="6" t="s">
        <v>11922</v>
      </c>
      <c r="C4591" s="6" t="s">
        <v>12</v>
      </c>
      <c r="D4591" s="6" t="s">
        <v>11447</v>
      </c>
      <c r="E4591" s="6" t="s">
        <v>11841</v>
      </c>
      <c r="F4591" s="6" t="s">
        <v>11923</v>
      </c>
      <c r="G4591" s="6" t="s">
        <v>16</v>
      </c>
      <c r="H4591" s="5">
        <v>1</v>
      </c>
      <c r="I4591" s="6" t="s">
        <v>11923</v>
      </c>
      <c r="J4591" s="5">
        <v>305</v>
      </c>
    </row>
    <row r="4592" s="2" customFormat="1" spans="1:10">
      <c r="A4592" s="6">
        <f>4590</f>
        <v>4590</v>
      </c>
      <c r="B4592" s="6" t="s">
        <v>11924</v>
      </c>
      <c r="C4592" s="6" t="s">
        <v>12</v>
      </c>
      <c r="D4592" s="6" t="s">
        <v>11447</v>
      </c>
      <c r="E4592" s="6" t="s">
        <v>11841</v>
      </c>
      <c r="F4592" s="6" t="s">
        <v>11925</v>
      </c>
      <c r="G4592" s="6" t="s">
        <v>16</v>
      </c>
      <c r="H4592" s="5">
        <v>1</v>
      </c>
      <c r="I4592" s="6" t="s">
        <v>11925</v>
      </c>
      <c r="J4592" s="5">
        <v>295</v>
      </c>
    </row>
    <row r="4593" s="2" customFormat="1" spans="1:10">
      <c r="A4593" s="6">
        <f>4591</f>
        <v>4591</v>
      </c>
      <c r="B4593" s="6" t="s">
        <v>11926</v>
      </c>
      <c r="C4593" s="6" t="s">
        <v>12</v>
      </c>
      <c r="D4593" s="6" t="s">
        <v>11447</v>
      </c>
      <c r="E4593" s="6" t="s">
        <v>11841</v>
      </c>
      <c r="F4593" s="6" t="s">
        <v>11927</v>
      </c>
      <c r="G4593" s="6" t="s">
        <v>16</v>
      </c>
      <c r="H4593" s="5">
        <v>1</v>
      </c>
      <c r="I4593" s="6" t="s">
        <v>11927</v>
      </c>
      <c r="J4593" s="5">
        <v>295</v>
      </c>
    </row>
    <row r="4594" s="2" customFormat="1" spans="1:10">
      <c r="A4594" s="6">
        <f>4592</f>
        <v>4592</v>
      </c>
      <c r="B4594" s="6" t="s">
        <v>11928</v>
      </c>
      <c r="C4594" s="6" t="s">
        <v>12</v>
      </c>
      <c r="D4594" s="6" t="s">
        <v>11447</v>
      </c>
      <c r="E4594" s="6" t="s">
        <v>11841</v>
      </c>
      <c r="F4594" s="6" t="s">
        <v>11929</v>
      </c>
      <c r="G4594" s="6" t="s">
        <v>16</v>
      </c>
      <c r="H4594" s="5">
        <v>1</v>
      </c>
      <c r="I4594" s="6" t="s">
        <v>11929</v>
      </c>
      <c r="J4594" s="5">
        <v>275</v>
      </c>
    </row>
    <row r="4595" s="2" customFormat="1" spans="1:10">
      <c r="A4595" s="6">
        <f>4593</f>
        <v>4593</v>
      </c>
      <c r="B4595" s="6" t="s">
        <v>11930</v>
      </c>
      <c r="C4595" s="6" t="s">
        <v>12</v>
      </c>
      <c r="D4595" s="6" t="s">
        <v>11447</v>
      </c>
      <c r="E4595" s="6" t="s">
        <v>11931</v>
      </c>
      <c r="F4595" s="6" t="s">
        <v>11932</v>
      </c>
      <c r="G4595" s="6" t="s">
        <v>16</v>
      </c>
      <c r="H4595" s="5">
        <v>2</v>
      </c>
      <c r="I4595" s="6" t="s">
        <v>11933</v>
      </c>
      <c r="J4595" s="5">
        <v>740</v>
      </c>
    </row>
    <row r="4596" s="2" customFormat="1" spans="1:10">
      <c r="A4596" s="6">
        <f>4594</f>
        <v>4594</v>
      </c>
      <c r="B4596" s="6" t="s">
        <v>11934</v>
      </c>
      <c r="C4596" s="6" t="s">
        <v>12</v>
      </c>
      <c r="D4596" s="6" t="s">
        <v>11447</v>
      </c>
      <c r="E4596" s="6" t="s">
        <v>11931</v>
      </c>
      <c r="F4596" s="6" t="s">
        <v>11935</v>
      </c>
      <c r="G4596" s="6" t="s">
        <v>16</v>
      </c>
      <c r="H4596" s="5">
        <v>1</v>
      </c>
      <c r="I4596" s="6" t="s">
        <v>11935</v>
      </c>
      <c r="J4596" s="5">
        <v>248</v>
      </c>
    </row>
    <row r="4597" s="2" customFormat="1" spans="1:10">
      <c r="A4597" s="6">
        <f>4595</f>
        <v>4595</v>
      </c>
      <c r="B4597" s="6" t="s">
        <v>11936</v>
      </c>
      <c r="C4597" s="6" t="s">
        <v>12</v>
      </c>
      <c r="D4597" s="6" t="s">
        <v>11447</v>
      </c>
      <c r="E4597" s="6" t="s">
        <v>11931</v>
      </c>
      <c r="F4597" s="6" t="s">
        <v>11937</v>
      </c>
      <c r="G4597" s="6" t="s">
        <v>16</v>
      </c>
      <c r="H4597" s="5">
        <v>1</v>
      </c>
      <c r="I4597" s="6" t="s">
        <v>11937</v>
      </c>
      <c r="J4597" s="5">
        <v>312</v>
      </c>
    </row>
    <row r="4598" s="2" customFormat="1" ht="27" spans="1:10">
      <c r="A4598" s="6">
        <f>4596</f>
        <v>4596</v>
      </c>
      <c r="B4598" s="6" t="s">
        <v>11938</v>
      </c>
      <c r="C4598" s="6" t="s">
        <v>12</v>
      </c>
      <c r="D4598" s="6" t="s">
        <v>11447</v>
      </c>
      <c r="E4598" s="6" t="s">
        <v>11931</v>
      </c>
      <c r="F4598" s="6" t="s">
        <v>11939</v>
      </c>
      <c r="G4598" s="6" t="s">
        <v>16</v>
      </c>
      <c r="H4598" s="5">
        <v>5</v>
      </c>
      <c r="I4598" s="6" t="s">
        <v>11940</v>
      </c>
      <c r="J4598" s="5">
        <v>1300</v>
      </c>
    </row>
    <row r="4599" s="2" customFormat="1" ht="27" spans="1:10">
      <c r="A4599" s="6">
        <f>4597</f>
        <v>4597</v>
      </c>
      <c r="B4599" s="6" t="s">
        <v>11941</v>
      </c>
      <c r="C4599" s="6" t="s">
        <v>12</v>
      </c>
      <c r="D4599" s="6" t="s">
        <v>11447</v>
      </c>
      <c r="E4599" s="6" t="s">
        <v>11931</v>
      </c>
      <c r="F4599" s="6" t="s">
        <v>11942</v>
      </c>
      <c r="G4599" s="6" t="s">
        <v>16</v>
      </c>
      <c r="H4599" s="5">
        <v>4</v>
      </c>
      <c r="I4599" s="6" t="s">
        <v>11943</v>
      </c>
      <c r="J4599" s="5">
        <v>750</v>
      </c>
    </row>
    <row r="4600" s="2" customFormat="1" spans="1:10">
      <c r="A4600" s="6">
        <f>4598</f>
        <v>4598</v>
      </c>
      <c r="B4600" s="6" t="s">
        <v>11944</v>
      </c>
      <c r="C4600" s="6" t="s">
        <v>12</v>
      </c>
      <c r="D4600" s="6" t="s">
        <v>11447</v>
      </c>
      <c r="E4600" s="6" t="s">
        <v>11931</v>
      </c>
      <c r="F4600" s="6" t="s">
        <v>11945</v>
      </c>
      <c r="G4600" s="6" t="s">
        <v>16</v>
      </c>
      <c r="H4600" s="5">
        <v>1</v>
      </c>
      <c r="I4600" s="6" t="s">
        <v>11945</v>
      </c>
      <c r="J4600" s="5">
        <v>238</v>
      </c>
    </row>
    <row r="4601" s="2" customFormat="1" ht="27" spans="1:10">
      <c r="A4601" s="6">
        <f>4599</f>
        <v>4599</v>
      </c>
      <c r="B4601" s="6" t="s">
        <v>11946</v>
      </c>
      <c r="C4601" s="6" t="s">
        <v>12</v>
      </c>
      <c r="D4601" s="6" t="s">
        <v>11447</v>
      </c>
      <c r="E4601" s="6" t="s">
        <v>11931</v>
      </c>
      <c r="F4601" s="6" t="s">
        <v>11947</v>
      </c>
      <c r="G4601" s="6" t="s">
        <v>16</v>
      </c>
      <c r="H4601" s="5">
        <v>4</v>
      </c>
      <c r="I4601" s="6" t="s">
        <v>11948</v>
      </c>
      <c r="J4601" s="5">
        <v>418</v>
      </c>
    </row>
    <row r="4602" s="2" customFormat="1" spans="1:10">
      <c r="A4602" s="6">
        <f>4600</f>
        <v>4600</v>
      </c>
      <c r="B4602" s="6" t="s">
        <v>11949</v>
      </c>
      <c r="C4602" s="6" t="s">
        <v>12</v>
      </c>
      <c r="D4602" s="6" t="s">
        <v>11447</v>
      </c>
      <c r="E4602" s="6" t="s">
        <v>11931</v>
      </c>
      <c r="F4602" s="6" t="s">
        <v>11950</v>
      </c>
      <c r="G4602" s="6" t="s">
        <v>16</v>
      </c>
      <c r="H4602" s="5">
        <v>1</v>
      </c>
      <c r="I4602" s="6" t="s">
        <v>11950</v>
      </c>
      <c r="J4602" s="5">
        <v>238</v>
      </c>
    </row>
    <row r="4603" s="2" customFormat="1" spans="1:10">
      <c r="A4603" s="6">
        <f>4601</f>
        <v>4601</v>
      </c>
      <c r="B4603" s="6" t="s">
        <v>11951</v>
      </c>
      <c r="C4603" s="6" t="s">
        <v>12</v>
      </c>
      <c r="D4603" s="6" t="s">
        <v>11447</v>
      </c>
      <c r="E4603" s="6" t="s">
        <v>11931</v>
      </c>
      <c r="F4603" s="6" t="s">
        <v>11952</v>
      </c>
      <c r="G4603" s="6" t="s">
        <v>16</v>
      </c>
      <c r="H4603" s="5">
        <v>1</v>
      </c>
      <c r="I4603" s="6" t="s">
        <v>11952</v>
      </c>
      <c r="J4603" s="5">
        <v>265</v>
      </c>
    </row>
    <row r="4604" s="2" customFormat="1" spans="1:10">
      <c r="A4604" s="6">
        <f>4602</f>
        <v>4602</v>
      </c>
      <c r="B4604" s="6" t="s">
        <v>11953</v>
      </c>
      <c r="C4604" s="6" t="s">
        <v>12</v>
      </c>
      <c r="D4604" s="6" t="s">
        <v>11447</v>
      </c>
      <c r="E4604" s="6" t="s">
        <v>11931</v>
      </c>
      <c r="F4604" s="6" t="s">
        <v>11954</v>
      </c>
      <c r="G4604" s="6" t="s">
        <v>16</v>
      </c>
      <c r="H4604" s="5">
        <v>1</v>
      </c>
      <c r="I4604" s="6" t="s">
        <v>11954</v>
      </c>
      <c r="J4604" s="5">
        <v>305</v>
      </c>
    </row>
    <row r="4605" s="2" customFormat="1" spans="1:10">
      <c r="A4605" s="6">
        <f>4603</f>
        <v>4603</v>
      </c>
      <c r="B4605" s="6" t="s">
        <v>11955</v>
      </c>
      <c r="C4605" s="6" t="s">
        <v>12</v>
      </c>
      <c r="D4605" s="6" t="s">
        <v>11447</v>
      </c>
      <c r="E4605" s="6" t="s">
        <v>11931</v>
      </c>
      <c r="F4605" s="6" t="s">
        <v>11956</v>
      </c>
      <c r="G4605" s="6" t="s">
        <v>16</v>
      </c>
      <c r="H4605" s="5">
        <v>2</v>
      </c>
      <c r="I4605" s="6" t="s">
        <v>11957</v>
      </c>
      <c r="J4605" s="5">
        <v>700</v>
      </c>
    </row>
    <row r="4606" s="2" customFormat="1" spans="1:10">
      <c r="A4606" s="6">
        <f>4604</f>
        <v>4604</v>
      </c>
      <c r="B4606" s="6" t="s">
        <v>11958</v>
      </c>
      <c r="C4606" s="6" t="s">
        <v>12</v>
      </c>
      <c r="D4606" s="6" t="s">
        <v>11447</v>
      </c>
      <c r="E4606" s="6" t="s">
        <v>11931</v>
      </c>
      <c r="F4606" s="6" t="s">
        <v>11959</v>
      </c>
      <c r="G4606" s="6" t="s">
        <v>16</v>
      </c>
      <c r="H4606" s="5">
        <v>1</v>
      </c>
      <c r="I4606" s="6" t="s">
        <v>11959</v>
      </c>
      <c r="J4606" s="5">
        <v>238</v>
      </c>
    </row>
    <row r="4607" s="2" customFormat="1" ht="27" spans="1:10">
      <c r="A4607" s="6">
        <f>4605</f>
        <v>4605</v>
      </c>
      <c r="B4607" s="6" t="s">
        <v>11960</v>
      </c>
      <c r="C4607" s="6" t="s">
        <v>12</v>
      </c>
      <c r="D4607" s="6" t="s">
        <v>11447</v>
      </c>
      <c r="E4607" s="6" t="s">
        <v>11931</v>
      </c>
      <c r="F4607" s="6" t="s">
        <v>11961</v>
      </c>
      <c r="G4607" s="6" t="s">
        <v>16</v>
      </c>
      <c r="H4607" s="5">
        <v>4</v>
      </c>
      <c r="I4607" s="6" t="s">
        <v>11962</v>
      </c>
      <c r="J4607" s="5">
        <v>700</v>
      </c>
    </row>
    <row r="4608" s="2" customFormat="1" spans="1:10">
      <c r="A4608" s="6">
        <f>4606</f>
        <v>4606</v>
      </c>
      <c r="B4608" s="6" t="s">
        <v>11963</v>
      </c>
      <c r="C4608" s="6" t="s">
        <v>12</v>
      </c>
      <c r="D4608" s="6" t="s">
        <v>11447</v>
      </c>
      <c r="E4608" s="6" t="s">
        <v>11931</v>
      </c>
      <c r="F4608" s="6" t="s">
        <v>11964</v>
      </c>
      <c r="G4608" s="6" t="s">
        <v>16</v>
      </c>
      <c r="H4608" s="5">
        <v>1</v>
      </c>
      <c r="I4608" s="6" t="s">
        <v>11964</v>
      </c>
      <c r="J4608" s="5">
        <v>255</v>
      </c>
    </row>
    <row r="4609" s="2" customFormat="1" spans="1:10">
      <c r="A4609" s="6">
        <f>4607</f>
        <v>4607</v>
      </c>
      <c r="B4609" s="6" t="s">
        <v>11965</v>
      </c>
      <c r="C4609" s="6" t="s">
        <v>12</v>
      </c>
      <c r="D4609" s="6" t="s">
        <v>11447</v>
      </c>
      <c r="E4609" s="6" t="s">
        <v>11931</v>
      </c>
      <c r="F4609" s="6" t="s">
        <v>11966</v>
      </c>
      <c r="G4609" s="6" t="s">
        <v>16</v>
      </c>
      <c r="H4609" s="5">
        <v>1</v>
      </c>
      <c r="I4609" s="6" t="s">
        <v>11966</v>
      </c>
      <c r="J4609" s="5">
        <v>238</v>
      </c>
    </row>
    <row r="4610" s="2" customFormat="1" spans="1:10">
      <c r="A4610" s="6">
        <f>4608</f>
        <v>4608</v>
      </c>
      <c r="B4610" s="6" t="s">
        <v>11967</v>
      </c>
      <c r="C4610" s="6" t="s">
        <v>12</v>
      </c>
      <c r="D4610" s="6" t="s">
        <v>11447</v>
      </c>
      <c r="E4610" s="6" t="s">
        <v>11931</v>
      </c>
      <c r="F4610" s="6" t="s">
        <v>11968</v>
      </c>
      <c r="G4610" s="6" t="s">
        <v>16</v>
      </c>
      <c r="H4610" s="5">
        <v>1</v>
      </c>
      <c r="I4610" s="6" t="s">
        <v>11968</v>
      </c>
      <c r="J4610" s="5">
        <v>238</v>
      </c>
    </row>
    <row r="4611" s="2" customFormat="1" spans="1:10">
      <c r="A4611" s="6">
        <f>4609</f>
        <v>4609</v>
      </c>
      <c r="B4611" s="6" t="s">
        <v>11969</v>
      </c>
      <c r="C4611" s="6" t="s">
        <v>12</v>
      </c>
      <c r="D4611" s="6" t="s">
        <v>11447</v>
      </c>
      <c r="E4611" s="6" t="s">
        <v>11931</v>
      </c>
      <c r="F4611" s="6" t="s">
        <v>11970</v>
      </c>
      <c r="G4611" s="6" t="s">
        <v>16</v>
      </c>
      <c r="H4611" s="5">
        <v>3</v>
      </c>
      <c r="I4611" s="6" t="s">
        <v>11971</v>
      </c>
      <c r="J4611" s="5">
        <v>684</v>
      </c>
    </row>
    <row r="4612" s="2" customFormat="1" spans="1:10">
      <c r="A4612" s="6">
        <f>4610</f>
        <v>4610</v>
      </c>
      <c r="B4612" s="6" t="s">
        <v>11972</v>
      </c>
      <c r="C4612" s="6" t="s">
        <v>12</v>
      </c>
      <c r="D4612" s="6" t="s">
        <v>11447</v>
      </c>
      <c r="E4612" s="6" t="s">
        <v>11931</v>
      </c>
      <c r="F4612" s="6" t="s">
        <v>11973</v>
      </c>
      <c r="G4612" s="6" t="s">
        <v>16</v>
      </c>
      <c r="H4612" s="5">
        <v>1</v>
      </c>
      <c r="I4612" s="6" t="s">
        <v>11973</v>
      </c>
      <c r="J4612" s="5">
        <v>238</v>
      </c>
    </row>
    <row r="4613" s="2" customFormat="1" spans="1:10">
      <c r="A4613" s="6">
        <f>4611</f>
        <v>4611</v>
      </c>
      <c r="B4613" s="6" t="s">
        <v>11974</v>
      </c>
      <c r="C4613" s="6" t="s">
        <v>12</v>
      </c>
      <c r="D4613" s="6" t="s">
        <v>11447</v>
      </c>
      <c r="E4613" s="6" t="s">
        <v>11931</v>
      </c>
      <c r="F4613" s="6" t="s">
        <v>11975</v>
      </c>
      <c r="G4613" s="6" t="s">
        <v>16</v>
      </c>
      <c r="H4613" s="5">
        <v>1</v>
      </c>
      <c r="I4613" s="6" t="s">
        <v>11975</v>
      </c>
      <c r="J4613" s="5">
        <v>225</v>
      </c>
    </row>
    <row r="4614" s="2" customFormat="1" spans="1:10">
      <c r="A4614" s="6">
        <f>4612</f>
        <v>4612</v>
      </c>
      <c r="B4614" s="6" t="s">
        <v>11976</v>
      </c>
      <c r="C4614" s="6" t="s">
        <v>12</v>
      </c>
      <c r="D4614" s="6" t="s">
        <v>11447</v>
      </c>
      <c r="E4614" s="6" t="s">
        <v>11931</v>
      </c>
      <c r="F4614" s="6" t="s">
        <v>11977</v>
      </c>
      <c r="G4614" s="6" t="s">
        <v>16</v>
      </c>
      <c r="H4614" s="5">
        <v>2</v>
      </c>
      <c r="I4614" s="6" t="s">
        <v>11978</v>
      </c>
      <c r="J4614" s="5">
        <v>500</v>
      </c>
    </row>
    <row r="4615" s="2" customFormat="1" spans="1:10">
      <c r="A4615" s="6">
        <f>4613</f>
        <v>4613</v>
      </c>
      <c r="B4615" s="6" t="s">
        <v>11979</v>
      </c>
      <c r="C4615" s="6" t="s">
        <v>12</v>
      </c>
      <c r="D4615" s="6" t="s">
        <v>11447</v>
      </c>
      <c r="E4615" s="6" t="s">
        <v>11931</v>
      </c>
      <c r="F4615" s="6" t="s">
        <v>11980</v>
      </c>
      <c r="G4615" s="6" t="s">
        <v>16</v>
      </c>
      <c r="H4615" s="5">
        <v>2</v>
      </c>
      <c r="I4615" s="6" t="s">
        <v>11981</v>
      </c>
      <c r="J4615" s="5">
        <v>640</v>
      </c>
    </row>
    <row r="4616" s="2" customFormat="1" spans="1:10">
      <c r="A4616" s="6">
        <f>4614</f>
        <v>4614</v>
      </c>
      <c r="B4616" s="6" t="s">
        <v>11982</v>
      </c>
      <c r="C4616" s="6" t="s">
        <v>12</v>
      </c>
      <c r="D4616" s="6" t="s">
        <v>11447</v>
      </c>
      <c r="E4616" s="6" t="s">
        <v>11931</v>
      </c>
      <c r="F4616" s="6" t="s">
        <v>11983</v>
      </c>
      <c r="G4616" s="6" t="s">
        <v>16</v>
      </c>
      <c r="H4616" s="5">
        <v>2</v>
      </c>
      <c r="I4616" s="6" t="s">
        <v>11984</v>
      </c>
      <c r="J4616" s="5">
        <v>347</v>
      </c>
    </row>
    <row r="4617" s="2" customFormat="1" spans="1:10">
      <c r="A4617" s="6">
        <f>4615</f>
        <v>4615</v>
      </c>
      <c r="B4617" s="6" t="s">
        <v>11985</v>
      </c>
      <c r="C4617" s="6" t="s">
        <v>12</v>
      </c>
      <c r="D4617" s="6" t="s">
        <v>11447</v>
      </c>
      <c r="E4617" s="6" t="s">
        <v>11931</v>
      </c>
      <c r="F4617" s="6" t="s">
        <v>11986</v>
      </c>
      <c r="G4617" s="6" t="s">
        <v>16</v>
      </c>
      <c r="H4617" s="5">
        <v>3</v>
      </c>
      <c r="I4617" s="6" t="s">
        <v>11987</v>
      </c>
      <c r="J4617" s="5">
        <v>444</v>
      </c>
    </row>
    <row r="4618" s="2" customFormat="1" spans="1:10">
      <c r="A4618" s="6">
        <f>4616</f>
        <v>4616</v>
      </c>
      <c r="B4618" s="6" t="s">
        <v>11988</v>
      </c>
      <c r="C4618" s="6" t="s">
        <v>12</v>
      </c>
      <c r="D4618" s="6" t="s">
        <v>11447</v>
      </c>
      <c r="E4618" s="6" t="s">
        <v>11989</v>
      </c>
      <c r="F4618" s="6" t="s">
        <v>11990</v>
      </c>
      <c r="G4618" s="6" t="s">
        <v>16</v>
      </c>
      <c r="H4618" s="5">
        <v>1</v>
      </c>
      <c r="I4618" s="6" t="s">
        <v>11990</v>
      </c>
      <c r="J4618" s="5">
        <v>270</v>
      </c>
    </row>
    <row r="4619" s="2" customFormat="1" spans="1:10">
      <c r="A4619" s="6">
        <f>4617</f>
        <v>4617</v>
      </c>
      <c r="B4619" s="6" t="s">
        <v>11991</v>
      </c>
      <c r="C4619" s="6" t="s">
        <v>12</v>
      </c>
      <c r="D4619" s="6" t="s">
        <v>11447</v>
      </c>
      <c r="E4619" s="6" t="s">
        <v>11989</v>
      </c>
      <c r="F4619" s="6" t="s">
        <v>11992</v>
      </c>
      <c r="G4619" s="6" t="s">
        <v>16</v>
      </c>
      <c r="H4619" s="5">
        <v>1</v>
      </c>
      <c r="I4619" s="6" t="s">
        <v>11992</v>
      </c>
      <c r="J4619" s="5">
        <v>267</v>
      </c>
    </row>
    <row r="4620" s="2" customFormat="1" spans="1:10">
      <c r="A4620" s="6">
        <f>4618</f>
        <v>4618</v>
      </c>
      <c r="B4620" s="6" t="s">
        <v>11993</v>
      </c>
      <c r="C4620" s="6" t="s">
        <v>12</v>
      </c>
      <c r="D4620" s="6" t="s">
        <v>11447</v>
      </c>
      <c r="E4620" s="6" t="s">
        <v>11989</v>
      </c>
      <c r="F4620" s="6" t="s">
        <v>11994</v>
      </c>
      <c r="G4620" s="6" t="s">
        <v>16</v>
      </c>
      <c r="H4620" s="5">
        <v>1</v>
      </c>
      <c r="I4620" s="6" t="s">
        <v>11994</v>
      </c>
      <c r="J4620" s="5">
        <v>438</v>
      </c>
    </row>
    <row r="4621" s="2" customFormat="1" spans="1:10">
      <c r="A4621" s="6">
        <f>4619</f>
        <v>4619</v>
      </c>
      <c r="B4621" s="6" t="s">
        <v>11995</v>
      </c>
      <c r="C4621" s="6" t="s">
        <v>12</v>
      </c>
      <c r="D4621" s="6" t="s">
        <v>11447</v>
      </c>
      <c r="E4621" s="6" t="s">
        <v>11989</v>
      </c>
      <c r="F4621" s="6" t="s">
        <v>11996</v>
      </c>
      <c r="G4621" s="6" t="s">
        <v>16</v>
      </c>
      <c r="H4621" s="5">
        <v>2</v>
      </c>
      <c r="I4621" s="6" t="s">
        <v>11997</v>
      </c>
      <c r="J4621" s="5">
        <v>1160</v>
      </c>
    </row>
    <row r="4622" s="2" customFormat="1" spans="1:10">
      <c r="A4622" s="6">
        <f>4620</f>
        <v>4620</v>
      </c>
      <c r="B4622" s="6" t="s">
        <v>11998</v>
      </c>
      <c r="C4622" s="6" t="s">
        <v>12</v>
      </c>
      <c r="D4622" s="6" t="s">
        <v>11447</v>
      </c>
      <c r="E4622" s="6" t="s">
        <v>11989</v>
      </c>
      <c r="F4622" s="6" t="s">
        <v>1968</v>
      </c>
      <c r="G4622" s="6" t="s">
        <v>16</v>
      </c>
      <c r="H4622" s="5">
        <v>1</v>
      </c>
      <c r="I4622" s="6" t="s">
        <v>1968</v>
      </c>
      <c r="J4622" s="5">
        <v>238</v>
      </c>
    </row>
    <row r="4623" s="2" customFormat="1" spans="1:10">
      <c r="A4623" s="6">
        <f>4621</f>
        <v>4621</v>
      </c>
      <c r="B4623" s="6" t="s">
        <v>11999</v>
      </c>
      <c r="C4623" s="6" t="s">
        <v>12</v>
      </c>
      <c r="D4623" s="6" t="s">
        <v>11447</v>
      </c>
      <c r="E4623" s="6" t="s">
        <v>11989</v>
      </c>
      <c r="F4623" s="6" t="s">
        <v>12000</v>
      </c>
      <c r="G4623" s="6" t="s">
        <v>16</v>
      </c>
      <c r="H4623" s="5">
        <v>1</v>
      </c>
      <c r="I4623" s="6" t="s">
        <v>12000</v>
      </c>
      <c r="J4623" s="5">
        <v>265</v>
      </c>
    </row>
    <row r="4624" s="2" customFormat="1" spans="1:10">
      <c r="A4624" s="6">
        <f>4622</f>
        <v>4622</v>
      </c>
      <c r="B4624" s="6" t="s">
        <v>12001</v>
      </c>
      <c r="C4624" s="6" t="s">
        <v>12</v>
      </c>
      <c r="D4624" s="6" t="s">
        <v>11447</v>
      </c>
      <c r="E4624" s="6" t="s">
        <v>11989</v>
      </c>
      <c r="F4624" s="6" t="s">
        <v>12002</v>
      </c>
      <c r="G4624" s="6" t="s">
        <v>16</v>
      </c>
      <c r="H4624" s="5">
        <v>2</v>
      </c>
      <c r="I4624" s="6" t="s">
        <v>12003</v>
      </c>
      <c r="J4624" s="5">
        <v>524</v>
      </c>
    </row>
    <row r="4625" s="2" customFormat="1" spans="1:10">
      <c r="A4625" s="6">
        <f>4623</f>
        <v>4623</v>
      </c>
      <c r="B4625" s="6" t="s">
        <v>12004</v>
      </c>
      <c r="C4625" s="6" t="s">
        <v>12</v>
      </c>
      <c r="D4625" s="6" t="s">
        <v>11447</v>
      </c>
      <c r="E4625" s="6" t="s">
        <v>11989</v>
      </c>
      <c r="F4625" s="6" t="s">
        <v>12005</v>
      </c>
      <c r="G4625" s="6" t="s">
        <v>16</v>
      </c>
      <c r="H4625" s="5">
        <v>1</v>
      </c>
      <c r="I4625" s="6" t="s">
        <v>12005</v>
      </c>
      <c r="J4625" s="5">
        <v>265</v>
      </c>
    </row>
    <row r="4626" s="2" customFormat="1" spans="1:10">
      <c r="A4626" s="6">
        <f>4624</f>
        <v>4624</v>
      </c>
      <c r="B4626" s="6" t="s">
        <v>12006</v>
      </c>
      <c r="C4626" s="6" t="s">
        <v>12</v>
      </c>
      <c r="D4626" s="6" t="s">
        <v>11447</v>
      </c>
      <c r="E4626" s="6" t="s">
        <v>11989</v>
      </c>
      <c r="F4626" s="6" t="s">
        <v>12007</v>
      </c>
      <c r="G4626" s="6" t="s">
        <v>16</v>
      </c>
      <c r="H4626" s="5">
        <v>1</v>
      </c>
      <c r="I4626" s="6" t="s">
        <v>12007</v>
      </c>
      <c r="J4626" s="5">
        <v>410</v>
      </c>
    </row>
    <row r="4627" s="2" customFormat="1" spans="1:10">
      <c r="A4627" s="6">
        <f>4625</f>
        <v>4625</v>
      </c>
      <c r="B4627" s="6" t="s">
        <v>12008</v>
      </c>
      <c r="C4627" s="6" t="s">
        <v>12</v>
      </c>
      <c r="D4627" s="6" t="s">
        <v>11447</v>
      </c>
      <c r="E4627" s="6" t="s">
        <v>11989</v>
      </c>
      <c r="F4627" s="6" t="s">
        <v>12009</v>
      </c>
      <c r="G4627" s="6" t="s">
        <v>16</v>
      </c>
      <c r="H4627" s="5">
        <v>1</v>
      </c>
      <c r="I4627" s="6" t="s">
        <v>12009</v>
      </c>
      <c r="J4627" s="5">
        <v>438</v>
      </c>
    </row>
    <row r="4628" s="2" customFormat="1" spans="1:10">
      <c r="A4628" s="6">
        <f>4626</f>
        <v>4626</v>
      </c>
      <c r="B4628" s="6" t="s">
        <v>12010</v>
      </c>
      <c r="C4628" s="6" t="s">
        <v>12</v>
      </c>
      <c r="D4628" s="6" t="s">
        <v>11447</v>
      </c>
      <c r="E4628" s="6" t="s">
        <v>11989</v>
      </c>
      <c r="F4628" s="6" t="s">
        <v>12011</v>
      </c>
      <c r="G4628" s="6" t="s">
        <v>16</v>
      </c>
      <c r="H4628" s="5">
        <v>1</v>
      </c>
      <c r="I4628" s="6" t="s">
        <v>12011</v>
      </c>
      <c r="J4628" s="5">
        <v>431</v>
      </c>
    </row>
    <row r="4629" s="2" customFormat="1" ht="27" spans="1:10">
      <c r="A4629" s="6">
        <f>4627</f>
        <v>4627</v>
      </c>
      <c r="B4629" s="6" t="s">
        <v>12012</v>
      </c>
      <c r="C4629" s="6" t="s">
        <v>12</v>
      </c>
      <c r="D4629" s="6" t="s">
        <v>11447</v>
      </c>
      <c r="E4629" s="6" t="s">
        <v>11989</v>
      </c>
      <c r="F4629" s="6" t="s">
        <v>12013</v>
      </c>
      <c r="G4629" s="6" t="s">
        <v>16</v>
      </c>
      <c r="H4629" s="5">
        <v>5</v>
      </c>
      <c r="I4629" s="6" t="s">
        <v>12014</v>
      </c>
      <c r="J4629" s="5">
        <v>925</v>
      </c>
    </row>
    <row r="4630" s="2" customFormat="1" spans="1:10">
      <c r="A4630" s="6">
        <f>4628</f>
        <v>4628</v>
      </c>
      <c r="B4630" s="6" t="s">
        <v>12015</v>
      </c>
      <c r="C4630" s="6" t="s">
        <v>12</v>
      </c>
      <c r="D4630" s="6" t="s">
        <v>11447</v>
      </c>
      <c r="E4630" s="6" t="s">
        <v>11989</v>
      </c>
      <c r="F4630" s="6" t="s">
        <v>12016</v>
      </c>
      <c r="G4630" s="6" t="s">
        <v>16</v>
      </c>
      <c r="H4630" s="5">
        <v>3</v>
      </c>
      <c r="I4630" s="6" t="s">
        <v>12017</v>
      </c>
      <c r="J4630" s="5">
        <v>759</v>
      </c>
    </row>
    <row r="4631" s="2" customFormat="1" ht="27" spans="1:10">
      <c r="A4631" s="6">
        <f>4629</f>
        <v>4629</v>
      </c>
      <c r="B4631" s="6" t="s">
        <v>12018</v>
      </c>
      <c r="C4631" s="6" t="s">
        <v>12</v>
      </c>
      <c r="D4631" s="6" t="s">
        <v>11447</v>
      </c>
      <c r="E4631" s="6" t="s">
        <v>11989</v>
      </c>
      <c r="F4631" s="6" t="s">
        <v>12019</v>
      </c>
      <c r="G4631" s="6" t="s">
        <v>16</v>
      </c>
      <c r="H4631" s="5">
        <v>6</v>
      </c>
      <c r="I4631" s="6" t="s">
        <v>12020</v>
      </c>
      <c r="J4631" s="5">
        <v>1160</v>
      </c>
    </row>
    <row r="4632" s="2" customFormat="1" spans="1:10">
      <c r="A4632" s="6">
        <f>4630</f>
        <v>4630</v>
      </c>
      <c r="B4632" s="6" t="s">
        <v>12021</v>
      </c>
      <c r="C4632" s="6" t="s">
        <v>12</v>
      </c>
      <c r="D4632" s="6" t="s">
        <v>11447</v>
      </c>
      <c r="E4632" s="6" t="s">
        <v>11989</v>
      </c>
      <c r="F4632" s="6" t="s">
        <v>12022</v>
      </c>
      <c r="G4632" s="6" t="s">
        <v>16</v>
      </c>
      <c r="H4632" s="5">
        <v>1</v>
      </c>
      <c r="I4632" s="6" t="s">
        <v>12022</v>
      </c>
      <c r="J4632" s="5">
        <v>367</v>
      </c>
    </row>
    <row r="4633" s="2" customFormat="1" spans="1:10">
      <c r="A4633" s="6">
        <f>4631</f>
        <v>4631</v>
      </c>
      <c r="B4633" s="6" t="s">
        <v>12023</v>
      </c>
      <c r="C4633" s="6" t="s">
        <v>12</v>
      </c>
      <c r="D4633" s="6" t="s">
        <v>11447</v>
      </c>
      <c r="E4633" s="6" t="s">
        <v>11989</v>
      </c>
      <c r="F4633" s="6" t="s">
        <v>12024</v>
      </c>
      <c r="G4633" s="6" t="s">
        <v>16</v>
      </c>
      <c r="H4633" s="5">
        <v>1</v>
      </c>
      <c r="I4633" s="6" t="s">
        <v>12024</v>
      </c>
      <c r="J4633" s="5">
        <v>302</v>
      </c>
    </row>
    <row r="4634" s="2" customFormat="1" spans="1:10">
      <c r="A4634" s="6">
        <f>4632</f>
        <v>4632</v>
      </c>
      <c r="B4634" s="6" t="s">
        <v>12025</v>
      </c>
      <c r="C4634" s="6" t="s">
        <v>12</v>
      </c>
      <c r="D4634" s="6" t="s">
        <v>11447</v>
      </c>
      <c r="E4634" s="6" t="s">
        <v>11989</v>
      </c>
      <c r="F4634" s="6" t="s">
        <v>12026</v>
      </c>
      <c r="G4634" s="6" t="s">
        <v>16</v>
      </c>
      <c r="H4634" s="5">
        <v>2</v>
      </c>
      <c r="I4634" s="6" t="s">
        <v>12027</v>
      </c>
      <c r="J4634" s="5">
        <v>560</v>
      </c>
    </row>
    <row r="4635" s="2" customFormat="1" spans="1:10">
      <c r="A4635" s="6">
        <f>4633</f>
        <v>4633</v>
      </c>
      <c r="B4635" s="6" t="s">
        <v>12028</v>
      </c>
      <c r="C4635" s="6" t="s">
        <v>12</v>
      </c>
      <c r="D4635" s="6" t="s">
        <v>11447</v>
      </c>
      <c r="E4635" s="6" t="s">
        <v>11989</v>
      </c>
      <c r="F4635" s="6" t="s">
        <v>12029</v>
      </c>
      <c r="G4635" s="6" t="s">
        <v>16</v>
      </c>
      <c r="H4635" s="5">
        <v>1</v>
      </c>
      <c r="I4635" s="6" t="s">
        <v>12029</v>
      </c>
      <c r="J4635" s="5">
        <v>287</v>
      </c>
    </row>
    <row r="4636" s="2" customFormat="1" spans="1:10">
      <c r="A4636" s="6">
        <f>4634</f>
        <v>4634</v>
      </c>
      <c r="B4636" s="6" t="s">
        <v>12030</v>
      </c>
      <c r="C4636" s="6" t="s">
        <v>12</v>
      </c>
      <c r="D4636" s="6" t="s">
        <v>11447</v>
      </c>
      <c r="E4636" s="6" t="s">
        <v>11989</v>
      </c>
      <c r="F4636" s="6" t="s">
        <v>12031</v>
      </c>
      <c r="G4636" s="6" t="s">
        <v>16</v>
      </c>
      <c r="H4636" s="5">
        <v>1</v>
      </c>
      <c r="I4636" s="6" t="s">
        <v>12031</v>
      </c>
      <c r="J4636" s="5">
        <v>278</v>
      </c>
    </row>
    <row r="4637" s="2" customFormat="1" spans="1:10">
      <c r="A4637" s="6">
        <f>4635</f>
        <v>4635</v>
      </c>
      <c r="B4637" s="6" t="s">
        <v>12032</v>
      </c>
      <c r="C4637" s="6" t="s">
        <v>12</v>
      </c>
      <c r="D4637" s="6" t="s">
        <v>11447</v>
      </c>
      <c r="E4637" s="6" t="s">
        <v>11989</v>
      </c>
      <c r="F4637" s="6" t="s">
        <v>12033</v>
      </c>
      <c r="G4637" s="6" t="s">
        <v>16</v>
      </c>
      <c r="H4637" s="5">
        <v>1</v>
      </c>
      <c r="I4637" s="6" t="s">
        <v>12033</v>
      </c>
      <c r="J4637" s="5">
        <v>267</v>
      </c>
    </row>
    <row r="4638" s="2" customFormat="1" spans="1:10">
      <c r="A4638" s="6">
        <f>4636</f>
        <v>4636</v>
      </c>
      <c r="B4638" s="6" t="s">
        <v>12034</v>
      </c>
      <c r="C4638" s="6" t="s">
        <v>12</v>
      </c>
      <c r="D4638" s="6" t="s">
        <v>11447</v>
      </c>
      <c r="E4638" s="6" t="s">
        <v>11989</v>
      </c>
      <c r="F4638" s="6" t="s">
        <v>12035</v>
      </c>
      <c r="G4638" s="6" t="s">
        <v>16</v>
      </c>
      <c r="H4638" s="5">
        <v>1</v>
      </c>
      <c r="I4638" s="6" t="s">
        <v>12035</v>
      </c>
      <c r="J4638" s="5">
        <v>440</v>
      </c>
    </row>
    <row r="4639" s="2" customFormat="1" spans="1:10">
      <c r="A4639" s="6">
        <f>4637</f>
        <v>4637</v>
      </c>
      <c r="B4639" s="6" t="s">
        <v>12036</v>
      </c>
      <c r="C4639" s="6" t="s">
        <v>12</v>
      </c>
      <c r="D4639" s="6" t="s">
        <v>11447</v>
      </c>
      <c r="E4639" s="6" t="s">
        <v>11989</v>
      </c>
      <c r="F4639" s="6" t="s">
        <v>12037</v>
      </c>
      <c r="G4639" s="6" t="s">
        <v>16</v>
      </c>
      <c r="H4639" s="5">
        <v>3</v>
      </c>
      <c r="I4639" s="6" t="s">
        <v>12038</v>
      </c>
      <c r="J4639" s="5">
        <v>955</v>
      </c>
    </row>
    <row r="4640" s="2" customFormat="1" spans="1:10">
      <c r="A4640" s="6">
        <f>4638</f>
        <v>4638</v>
      </c>
      <c r="B4640" s="6" t="s">
        <v>12039</v>
      </c>
      <c r="C4640" s="6" t="s">
        <v>12</v>
      </c>
      <c r="D4640" s="6" t="s">
        <v>11447</v>
      </c>
      <c r="E4640" s="6" t="s">
        <v>11989</v>
      </c>
      <c r="F4640" s="6" t="s">
        <v>12040</v>
      </c>
      <c r="G4640" s="6" t="s">
        <v>16</v>
      </c>
      <c r="H4640" s="5">
        <v>1</v>
      </c>
      <c r="I4640" s="6" t="s">
        <v>12040</v>
      </c>
      <c r="J4640" s="5">
        <v>360</v>
      </c>
    </row>
    <row r="4641" s="2" customFormat="1" spans="1:10">
      <c r="A4641" s="6">
        <f>4639</f>
        <v>4639</v>
      </c>
      <c r="B4641" s="6" t="s">
        <v>12041</v>
      </c>
      <c r="C4641" s="6" t="s">
        <v>12</v>
      </c>
      <c r="D4641" s="6" t="s">
        <v>11447</v>
      </c>
      <c r="E4641" s="6" t="s">
        <v>11989</v>
      </c>
      <c r="F4641" s="6" t="s">
        <v>12042</v>
      </c>
      <c r="G4641" s="6" t="s">
        <v>16</v>
      </c>
      <c r="H4641" s="5">
        <v>1</v>
      </c>
      <c r="I4641" s="6" t="s">
        <v>12042</v>
      </c>
      <c r="J4641" s="5">
        <v>340</v>
      </c>
    </row>
    <row r="4642" s="2" customFormat="1" spans="1:10">
      <c r="A4642" s="6">
        <f>4640</f>
        <v>4640</v>
      </c>
      <c r="B4642" s="6" t="s">
        <v>12043</v>
      </c>
      <c r="C4642" s="6" t="s">
        <v>12</v>
      </c>
      <c r="D4642" s="6" t="s">
        <v>11447</v>
      </c>
      <c r="E4642" s="6" t="s">
        <v>11989</v>
      </c>
      <c r="F4642" s="6" t="s">
        <v>12044</v>
      </c>
      <c r="G4642" s="6" t="s">
        <v>16</v>
      </c>
      <c r="H4642" s="5">
        <v>1</v>
      </c>
      <c r="I4642" s="6" t="s">
        <v>12044</v>
      </c>
      <c r="J4642" s="5">
        <v>270</v>
      </c>
    </row>
    <row r="4643" s="2" customFormat="1" spans="1:10">
      <c r="A4643" s="6">
        <f>4641</f>
        <v>4641</v>
      </c>
      <c r="B4643" s="6" t="s">
        <v>12045</v>
      </c>
      <c r="C4643" s="6" t="s">
        <v>12</v>
      </c>
      <c r="D4643" s="6" t="s">
        <v>11447</v>
      </c>
      <c r="E4643" s="6" t="s">
        <v>11989</v>
      </c>
      <c r="F4643" s="6" t="s">
        <v>12046</v>
      </c>
      <c r="G4643" s="6" t="s">
        <v>16</v>
      </c>
      <c r="H4643" s="5">
        <v>1</v>
      </c>
      <c r="I4643" s="6" t="s">
        <v>12046</v>
      </c>
      <c r="J4643" s="5">
        <v>245</v>
      </c>
    </row>
    <row r="4644" s="2" customFormat="1" spans="1:10">
      <c r="A4644" s="6">
        <f>4642</f>
        <v>4642</v>
      </c>
      <c r="B4644" s="6" t="s">
        <v>12047</v>
      </c>
      <c r="C4644" s="6" t="s">
        <v>12</v>
      </c>
      <c r="D4644" s="6" t="s">
        <v>11447</v>
      </c>
      <c r="E4644" s="6" t="s">
        <v>11989</v>
      </c>
      <c r="F4644" s="6" t="s">
        <v>12048</v>
      </c>
      <c r="G4644" s="6" t="s">
        <v>16</v>
      </c>
      <c r="H4644" s="5">
        <v>1</v>
      </c>
      <c r="I4644" s="6" t="s">
        <v>12048</v>
      </c>
      <c r="J4644" s="5">
        <v>265</v>
      </c>
    </row>
    <row r="4645" s="2" customFormat="1" spans="1:10">
      <c r="A4645" s="6">
        <f>4643</f>
        <v>4643</v>
      </c>
      <c r="B4645" s="6" t="s">
        <v>12049</v>
      </c>
      <c r="C4645" s="6" t="s">
        <v>12</v>
      </c>
      <c r="D4645" s="6" t="s">
        <v>11447</v>
      </c>
      <c r="E4645" s="6" t="s">
        <v>11989</v>
      </c>
      <c r="F4645" s="6" t="s">
        <v>12050</v>
      </c>
      <c r="G4645" s="6" t="s">
        <v>16</v>
      </c>
      <c r="H4645" s="5">
        <v>3</v>
      </c>
      <c r="I4645" s="6" t="s">
        <v>12051</v>
      </c>
      <c r="J4645" s="5">
        <v>1200</v>
      </c>
    </row>
    <row r="4646" s="2" customFormat="1" spans="1:10">
      <c r="A4646" s="6">
        <f>4644</f>
        <v>4644</v>
      </c>
      <c r="B4646" s="6" t="s">
        <v>12052</v>
      </c>
      <c r="C4646" s="6" t="s">
        <v>12</v>
      </c>
      <c r="D4646" s="6" t="s">
        <v>11447</v>
      </c>
      <c r="E4646" s="6" t="s">
        <v>12053</v>
      </c>
      <c r="F4646" s="6" t="s">
        <v>12054</v>
      </c>
      <c r="G4646" s="6" t="s">
        <v>16</v>
      </c>
      <c r="H4646" s="5">
        <v>2</v>
      </c>
      <c r="I4646" s="6" t="s">
        <v>12055</v>
      </c>
      <c r="J4646" s="5">
        <v>1000</v>
      </c>
    </row>
    <row r="4647" s="2" customFormat="1" spans="1:10">
      <c r="A4647" s="6">
        <f>4645</f>
        <v>4645</v>
      </c>
      <c r="B4647" s="6" t="s">
        <v>12056</v>
      </c>
      <c r="C4647" s="6" t="s">
        <v>12</v>
      </c>
      <c r="D4647" s="6" t="s">
        <v>11447</v>
      </c>
      <c r="E4647" s="6" t="s">
        <v>12053</v>
      </c>
      <c r="F4647" s="6" t="s">
        <v>4208</v>
      </c>
      <c r="G4647" s="6" t="s">
        <v>16</v>
      </c>
      <c r="H4647" s="5">
        <v>3</v>
      </c>
      <c r="I4647" s="6" t="s">
        <v>12057</v>
      </c>
      <c r="J4647" s="5">
        <v>780</v>
      </c>
    </row>
    <row r="4648" s="2" customFormat="1" spans="1:10">
      <c r="A4648" s="6">
        <f>4646</f>
        <v>4646</v>
      </c>
      <c r="B4648" s="6" t="s">
        <v>12058</v>
      </c>
      <c r="C4648" s="6" t="s">
        <v>12</v>
      </c>
      <c r="D4648" s="6" t="s">
        <v>11447</v>
      </c>
      <c r="E4648" s="6" t="s">
        <v>12053</v>
      </c>
      <c r="F4648" s="6" t="s">
        <v>12059</v>
      </c>
      <c r="G4648" s="6" t="s">
        <v>16</v>
      </c>
      <c r="H4648" s="5">
        <v>2</v>
      </c>
      <c r="I4648" s="6" t="s">
        <v>12060</v>
      </c>
      <c r="J4648" s="5">
        <v>524</v>
      </c>
    </row>
    <row r="4649" s="2" customFormat="1" spans="1:10">
      <c r="A4649" s="6">
        <f>4647</f>
        <v>4647</v>
      </c>
      <c r="B4649" s="6" t="s">
        <v>12061</v>
      </c>
      <c r="C4649" s="6" t="s">
        <v>12</v>
      </c>
      <c r="D4649" s="6" t="s">
        <v>11447</v>
      </c>
      <c r="E4649" s="6" t="s">
        <v>12053</v>
      </c>
      <c r="F4649" s="6" t="s">
        <v>12062</v>
      </c>
      <c r="G4649" s="6" t="s">
        <v>16</v>
      </c>
      <c r="H4649" s="5">
        <v>1</v>
      </c>
      <c r="I4649" s="6" t="s">
        <v>12062</v>
      </c>
      <c r="J4649" s="5">
        <v>270</v>
      </c>
    </row>
    <row r="4650" s="2" customFormat="1" spans="1:10">
      <c r="A4650" s="6">
        <f>4648</f>
        <v>4648</v>
      </c>
      <c r="B4650" s="6" t="s">
        <v>12063</v>
      </c>
      <c r="C4650" s="6" t="s">
        <v>12</v>
      </c>
      <c r="D4650" s="6" t="s">
        <v>11447</v>
      </c>
      <c r="E4650" s="6" t="s">
        <v>12053</v>
      </c>
      <c r="F4650" s="6" t="s">
        <v>12064</v>
      </c>
      <c r="G4650" s="6" t="s">
        <v>16</v>
      </c>
      <c r="H4650" s="5">
        <v>1</v>
      </c>
      <c r="I4650" s="6" t="s">
        <v>12064</v>
      </c>
      <c r="J4650" s="5">
        <v>220</v>
      </c>
    </row>
    <row r="4651" s="2" customFormat="1" spans="1:10">
      <c r="A4651" s="6">
        <f>4649</f>
        <v>4649</v>
      </c>
      <c r="B4651" s="6" t="s">
        <v>12065</v>
      </c>
      <c r="C4651" s="6" t="s">
        <v>12</v>
      </c>
      <c r="D4651" s="6" t="s">
        <v>11447</v>
      </c>
      <c r="E4651" s="6" t="s">
        <v>12053</v>
      </c>
      <c r="F4651" s="6" t="s">
        <v>12066</v>
      </c>
      <c r="G4651" s="6" t="s">
        <v>16</v>
      </c>
      <c r="H4651" s="5">
        <v>1</v>
      </c>
      <c r="I4651" s="6" t="s">
        <v>12066</v>
      </c>
      <c r="J4651" s="5">
        <v>290</v>
      </c>
    </row>
    <row r="4652" s="2" customFormat="1" spans="1:10">
      <c r="A4652" s="6">
        <f>4650</f>
        <v>4650</v>
      </c>
      <c r="B4652" s="6" t="s">
        <v>12067</v>
      </c>
      <c r="C4652" s="6" t="s">
        <v>12</v>
      </c>
      <c r="D4652" s="6" t="s">
        <v>11447</v>
      </c>
      <c r="E4652" s="6" t="s">
        <v>12053</v>
      </c>
      <c r="F4652" s="6" t="s">
        <v>12068</v>
      </c>
      <c r="G4652" s="6" t="s">
        <v>16</v>
      </c>
      <c r="H4652" s="5">
        <v>1</v>
      </c>
      <c r="I4652" s="6" t="s">
        <v>12068</v>
      </c>
      <c r="J4652" s="5">
        <v>268</v>
      </c>
    </row>
    <row r="4653" s="2" customFormat="1" spans="1:10">
      <c r="A4653" s="6">
        <f>4651</f>
        <v>4651</v>
      </c>
      <c r="B4653" s="6" t="s">
        <v>12069</v>
      </c>
      <c r="C4653" s="6" t="s">
        <v>12</v>
      </c>
      <c r="D4653" s="6" t="s">
        <v>11447</v>
      </c>
      <c r="E4653" s="6" t="s">
        <v>12053</v>
      </c>
      <c r="F4653" s="6" t="s">
        <v>12070</v>
      </c>
      <c r="G4653" s="6" t="s">
        <v>16</v>
      </c>
      <c r="H4653" s="5">
        <v>1</v>
      </c>
      <c r="I4653" s="6" t="s">
        <v>12070</v>
      </c>
      <c r="J4653" s="5">
        <v>278</v>
      </c>
    </row>
    <row r="4654" s="2" customFormat="1" spans="1:10">
      <c r="A4654" s="6">
        <f>4652</f>
        <v>4652</v>
      </c>
      <c r="B4654" s="6" t="s">
        <v>12071</v>
      </c>
      <c r="C4654" s="6" t="s">
        <v>12</v>
      </c>
      <c r="D4654" s="6" t="s">
        <v>11447</v>
      </c>
      <c r="E4654" s="6" t="s">
        <v>12053</v>
      </c>
      <c r="F4654" s="6" t="s">
        <v>11983</v>
      </c>
      <c r="G4654" s="6" t="s">
        <v>16</v>
      </c>
      <c r="H4654" s="5">
        <v>1</v>
      </c>
      <c r="I4654" s="6" t="s">
        <v>11983</v>
      </c>
      <c r="J4654" s="5">
        <v>233</v>
      </c>
    </row>
    <row r="4655" s="2" customFormat="1" spans="1:10">
      <c r="A4655" s="6">
        <f>4653</f>
        <v>4653</v>
      </c>
      <c r="B4655" s="6" t="s">
        <v>12072</v>
      </c>
      <c r="C4655" s="6" t="s">
        <v>12</v>
      </c>
      <c r="D4655" s="6" t="s">
        <v>11447</v>
      </c>
      <c r="E4655" s="6" t="s">
        <v>12053</v>
      </c>
      <c r="F4655" s="6" t="s">
        <v>12073</v>
      </c>
      <c r="G4655" s="6" t="s">
        <v>16</v>
      </c>
      <c r="H4655" s="5">
        <v>1</v>
      </c>
      <c r="I4655" s="6" t="s">
        <v>12073</v>
      </c>
      <c r="J4655" s="5">
        <v>249</v>
      </c>
    </row>
    <row r="4656" s="2" customFormat="1" spans="1:10">
      <c r="A4656" s="6">
        <f>4654</f>
        <v>4654</v>
      </c>
      <c r="B4656" s="6" t="s">
        <v>12074</v>
      </c>
      <c r="C4656" s="6" t="s">
        <v>12</v>
      </c>
      <c r="D4656" s="6" t="s">
        <v>11447</v>
      </c>
      <c r="E4656" s="6" t="s">
        <v>12053</v>
      </c>
      <c r="F4656" s="6" t="s">
        <v>12075</v>
      </c>
      <c r="G4656" s="6" t="s">
        <v>16</v>
      </c>
      <c r="H4656" s="5">
        <v>1</v>
      </c>
      <c r="I4656" s="6" t="s">
        <v>12075</v>
      </c>
      <c r="J4656" s="5">
        <v>263</v>
      </c>
    </row>
    <row r="4657" s="2" customFormat="1" spans="1:10">
      <c r="A4657" s="6">
        <f>4655</f>
        <v>4655</v>
      </c>
      <c r="B4657" s="6" t="s">
        <v>12076</v>
      </c>
      <c r="C4657" s="6" t="s">
        <v>12</v>
      </c>
      <c r="D4657" s="6" t="s">
        <v>11447</v>
      </c>
      <c r="E4657" s="6" t="s">
        <v>12053</v>
      </c>
      <c r="F4657" s="6" t="s">
        <v>12077</v>
      </c>
      <c r="G4657" s="6" t="s">
        <v>16</v>
      </c>
      <c r="H4657" s="5">
        <v>1</v>
      </c>
      <c r="I4657" s="6" t="s">
        <v>12077</v>
      </c>
      <c r="J4657" s="5">
        <v>243</v>
      </c>
    </row>
    <row r="4658" s="2" customFormat="1" spans="1:10">
      <c r="A4658" s="6">
        <f>4656</f>
        <v>4656</v>
      </c>
      <c r="B4658" s="6" t="s">
        <v>12078</v>
      </c>
      <c r="C4658" s="6" t="s">
        <v>12</v>
      </c>
      <c r="D4658" s="6" t="s">
        <v>11447</v>
      </c>
      <c r="E4658" s="6" t="s">
        <v>12053</v>
      </c>
      <c r="F4658" s="6" t="s">
        <v>12079</v>
      </c>
      <c r="G4658" s="6" t="s">
        <v>16</v>
      </c>
      <c r="H4658" s="5">
        <v>1</v>
      </c>
      <c r="I4658" s="6" t="s">
        <v>12079</v>
      </c>
      <c r="J4658" s="5">
        <v>340</v>
      </c>
    </row>
    <row r="4659" s="2" customFormat="1" spans="1:10">
      <c r="A4659" s="6">
        <f>4657</f>
        <v>4657</v>
      </c>
      <c r="B4659" s="6" t="s">
        <v>12080</v>
      </c>
      <c r="C4659" s="6" t="s">
        <v>12</v>
      </c>
      <c r="D4659" s="6" t="s">
        <v>11447</v>
      </c>
      <c r="E4659" s="6" t="s">
        <v>12053</v>
      </c>
      <c r="F4659" s="6" t="s">
        <v>12081</v>
      </c>
      <c r="G4659" s="6" t="s">
        <v>16</v>
      </c>
      <c r="H4659" s="5">
        <v>1</v>
      </c>
      <c r="I4659" s="6" t="s">
        <v>12081</v>
      </c>
      <c r="J4659" s="5">
        <v>198</v>
      </c>
    </row>
    <row r="4660" s="2" customFormat="1" spans="1:10">
      <c r="A4660" s="6">
        <f>4658</f>
        <v>4658</v>
      </c>
      <c r="B4660" s="6" t="s">
        <v>12082</v>
      </c>
      <c r="C4660" s="6" t="s">
        <v>12</v>
      </c>
      <c r="D4660" s="6" t="s">
        <v>11447</v>
      </c>
      <c r="E4660" s="6" t="s">
        <v>12053</v>
      </c>
      <c r="F4660" s="6" t="s">
        <v>12083</v>
      </c>
      <c r="G4660" s="6" t="s">
        <v>16</v>
      </c>
      <c r="H4660" s="5">
        <v>1</v>
      </c>
      <c r="I4660" s="6" t="s">
        <v>12083</v>
      </c>
      <c r="J4660" s="5">
        <v>500</v>
      </c>
    </row>
    <row r="4661" s="2" customFormat="1" spans="1:10">
      <c r="A4661" s="6">
        <f>4659</f>
        <v>4659</v>
      </c>
      <c r="B4661" s="6" t="s">
        <v>12084</v>
      </c>
      <c r="C4661" s="6" t="s">
        <v>12</v>
      </c>
      <c r="D4661" s="6" t="s">
        <v>11447</v>
      </c>
      <c r="E4661" s="6" t="s">
        <v>12053</v>
      </c>
      <c r="F4661" s="6" t="s">
        <v>12085</v>
      </c>
      <c r="G4661" s="6" t="s">
        <v>16</v>
      </c>
      <c r="H4661" s="5">
        <v>1</v>
      </c>
      <c r="I4661" s="6" t="s">
        <v>12085</v>
      </c>
      <c r="J4661" s="5">
        <v>220</v>
      </c>
    </row>
    <row r="4662" s="2" customFormat="1" spans="1:10">
      <c r="A4662" s="6">
        <f>4660</f>
        <v>4660</v>
      </c>
      <c r="B4662" s="6" t="s">
        <v>12086</v>
      </c>
      <c r="C4662" s="6" t="s">
        <v>12</v>
      </c>
      <c r="D4662" s="6" t="s">
        <v>11447</v>
      </c>
      <c r="E4662" s="6" t="s">
        <v>12053</v>
      </c>
      <c r="F4662" s="6" t="s">
        <v>12087</v>
      </c>
      <c r="G4662" s="6" t="s">
        <v>16</v>
      </c>
      <c r="H4662" s="5">
        <v>1</v>
      </c>
      <c r="I4662" s="6" t="s">
        <v>12087</v>
      </c>
      <c r="J4662" s="5">
        <v>278</v>
      </c>
    </row>
    <row r="4663" s="2" customFormat="1" spans="1:10">
      <c r="A4663" s="6">
        <f>4661</f>
        <v>4661</v>
      </c>
      <c r="B4663" s="6" t="s">
        <v>12088</v>
      </c>
      <c r="C4663" s="6" t="s">
        <v>12</v>
      </c>
      <c r="D4663" s="6" t="s">
        <v>11447</v>
      </c>
      <c r="E4663" s="6" t="s">
        <v>12053</v>
      </c>
      <c r="F4663" s="6" t="s">
        <v>12089</v>
      </c>
      <c r="G4663" s="6" t="s">
        <v>16</v>
      </c>
      <c r="H4663" s="5">
        <v>2</v>
      </c>
      <c r="I4663" s="6" t="s">
        <v>12090</v>
      </c>
      <c r="J4663" s="5">
        <v>396</v>
      </c>
    </row>
    <row r="4664" s="2" customFormat="1" spans="1:10">
      <c r="A4664" s="6">
        <f>4662</f>
        <v>4662</v>
      </c>
      <c r="B4664" s="6" t="s">
        <v>12091</v>
      </c>
      <c r="C4664" s="6" t="s">
        <v>12</v>
      </c>
      <c r="D4664" s="6" t="s">
        <v>11447</v>
      </c>
      <c r="E4664" s="6" t="s">
        <v>12053</v>
      </c>
      <c r="F4664" s="6" t="s">
        <v>12092</v>
      </c>
      <c r="G4664" s="6" t="s">
        <v>16</v>
      </c>
      <c r="H4664" s="5">
        <v>1</v>
      </c>
      <c r="I4664" s="6" t="s">
        <v>12092</v>
      </c>
      <c r="J4664" s="5">
        <v>253</v>
      </c>
    </row>
    <row r="4665" s="2" customFormat="1" spans="1:10">
      <c r="A4665" s="6">
        <f>4663</f>
        <v>4663</v>
      </c>
      <c r="B4665" s="6" t="s">
        <v>12093</v>
      </c>
      <c r="C4665" s="6" t="s">
        <v>12</v>
      </c>
      <c r="D4665" s="6" t="s">
        <v>11447</v>
      </c>
      <c r="E4665" s="6" t="s">
        <v>12053</v>
      </c>
      <c r="F4665" s="6" t="s">
        <v>12094</v>
      </c>
      <c r="G4665" s="6" t="s">
        <v>16</v>
      </c>
      <c r="H4665" s="5">
        <v>2</v>
      </c>
      <c r="I4665" s="6" t="s">
        <v>12095</v>
      </c>
      <c r="J4665" s="5">
        <v>580</v>
      </c>
    </row>
    <row r="4666" s="2" customFormat="1" spans="1:10">
      <c r="A4666" s="6">
        <f>4664</f>
        <v>4664</v>
      </c>
      <c r="B4666" s="6" t="s">
        <v>12096</v>
      </c>
      <c r="C4666" s="6" t="s">
        <v>12</v>
      </c>
      <c r="D4666" s="6" t="s">
        <v>11447</v>
      </c>
      <c r="E4666" s="6" t="s">
        <v>12053</v>
      </c>
      <c r="F4666" s="6" t="s">
        <v>12097</v>
      </c>
      <c r="G4666" s="6" t="s">
        <v>16</v>
      </c>
      <c r="H4666" s="5">
        <v>1</v>
      </c>
      <c r="I4666" s="6" t="s">
        <v>12097</v>
      </c>
      <c r="J4666" s="5">
        <v>245</v>
      </c>
    </row>
    <row r="4667" s="2" customFormat="1" spans="1:10">
      <c r="A4667" s="6">
        <f>4665</f>
        <v>4665</v>
      </c>
      <c r="B4667" s="6" t="s">
        <v>12098</v>
      </c>
      <c r="C4667" s="6" t="s">
        <v>12</v>
      </c>
      <c r="D4667" s="6" t="s">
        <v>11447</v>
      </c>
      <c r="E4667" s="6" t="s">
        <v>12053</v>
      </c>
      <c r="F4667" s="6" t="s">
        <v>12099</v>
      </c>
      <c r="G4667" s="6" t="s">
        <v>16</v>
      </c>
      <c r="H4667" s="5">
        <v>1</v>
      </c>
      <c r="I4667" s="6" t="s">
        <v>12099</v>
      </c>
      <c r="J4667" s="5">
        <v>295</v>
      </c>
    </row>
    <row r="4668" s="2" customFormat="1" spans="1:10">
      <c r="A4668" s="6">
        <f>4666</f>
        <v>4666</v>
      </c>
      <c r="B4668" s="6" t="s">
        <v>12100</v>
      </c>
      <c r="C4668" s="6" t="s">
        <v>12</v>
      </c>
      <c r="D4668" s="6" t="s">
        <v>11447</v>
      </c>
      <c r="E4668" s="6" t="s">
        <v>12053</v>
      </c>
      <c r="F4668" s="6" t="s">
        <v>12101</v>
      </c>
      <c r="G4668" s="6" t="s">
        <v>16</v>
      </c>
      <c r="H4668" s="5">
        <v>2</v>
      </c>
      <c r="I4668" s="6" t="s">
        <v>12102</v>
      </c>
      <c r="J4668" s="5">
        <v>520</v>
      </c>
    </row>
    <row r="4669" s="2" customFormat="1" spans="1:10">
      <c r="A4669" s="6">
        <f>4667</f>
        <v>4667</v>
      </c>
      <c r="B4669" s="6" t="s">
        <v>12103</v>
      </c>
      <c r="C4669" s="6" t="s">
        <v>12</v>
      </c>
      <c r="D4669" s="6" t="s">
        <v>11447</v>
      </c>
      <c r="E4669" s="6" t="s">
        <v>12104</v>
      </c>
      <c r="F4669" s="6" t="s">
        <v>12105</v>
      </c>
      <c r="G4669" s="6" t="s">
        <v>16</v>
      </c>
      <c r="H4669" s="5">
        <v>1</v>
      </c>
      <c r="I4669" s="6" t="s">
        <v>12105</v>
      </c>
      <c r="J4669" s="5">
        <v>340</v>
      </c>
    </row>
    <row r="4670" s="2" customFormat="1" spans="1:10">
      <c r="A4670" s="6">
        <f>4668</f>
        <v>4668</v>
      </c>
      <c r="B4670" s="6" t="s">
        <v>12106</v>
      </c>
      <c r="C4670" s="6" t="s">
        <v>12</v>
      </c>
      <c r="D4670" s="6" t="s">
        <v>11447</v>
      </c>
      <c r="E4670" s="6" t="s">
        <v>12104</v>
      </c>
      <c r="F4670" s="6" t="s">
        <v>12107</v>
      </c>
      <c r="G4670" s="6" t="s">
        <v>16</v>
      </c>
      <c r="H4670" s="5">
        <v>1</v>
      </c>
      <c r="I4670" s="6" t="s">
        <v>12107</v>
      </c>
      <c r="J4670" s="5">
        <v>340</v>
      </c>
    </row>
    <row r="4671" s="2" customFormat="1" spans="1:10">
      <c r="A4671" s="6">
        <f>4669</f>
        <v>4669</v>
      </c>
      <c r="B4671" s="6" t="s">
        <v>12108</v>
      </c>
      <c r="C4671" s="6" t="s">
        <v>12</v>
      </c>
      <c r="D4671" s="6" t="s">
        <v>11447</v>
      </c>
      <c r="E4671" s="6" t="s">
        <v>12104</v>
      </c>
      <c r="F4671" s="6" t="s">
        <v>12109</v>
      </c>
      <c r="G4671" s="6" t="s">
        <v>16</v>
      </c>
      <c r="H4671" s="5">
        <v>2</v>
      </c>
      <c r="I4671" s="6" t="s">
        <v>12110</v>
      </c>
      <c r="J4671" s="5">
        <v>480</v>
      </c>
    </row>
    <row r="4672" s="2" customFormat="1" spans="1:10">
      <c r="A4672" s="6">
        <f>4670</f>
        <v>4670</v>
      </c>
      <c r="B4672" s="6" t="s">
        <v>12111</v>
      </c>
      <c r="C4672" s="6" t="s">
        <v>12</v>
      </c>
      <c r="D4672" s="6" t="s">
        <v>11447</v>
      </c>
      <c r="E4672" s="6" t="s">
        <v>12104</v>
      </c>
      <c r="F4672" s="6" t="s">
        <v>10583</v>
      </c>
      <c r="G4672" s="6" t="s">
        <v>16</v>
      </c>
      <c r="H4672" s="5">
        <v>3</v>
      </c>
      <c r="I4672" s="6" t="s">
        <v>12112</v>
      </c>
      <c r="J4672" s="5">
        <v>920</v>
      </c>
    </row>
    <row r="4673" s="2" customFormat="1" spans="1:10">
      <c r="A4673" s="6">
        <f>4671</f>
        <v>4671</v>
      </c>
      <c r="B4673" s="6" t="s">
        <v>12113</v>
      </c>
      <c r="C4673" s="6" t="s">
        <v>12</v>
      </c>
      <c r="D4673" s="6" t="s">
        <v>11447</v>
      </c>
      <c r="E4673" s="6" t="s">
        <v>12104</v>
      </c>
      <c r="F4673" s="6" t="s">
        <v>12114</v>
      </c>
      <c r="G4673" s="6" t="s">
        <v>16</v>
      </c>
      <c r="H4673" s="5">
        <v>1</v>
      </c>
      <c r="I4673" s="6" t="s">
        <v>12114</v>
      </c>
      <c r="J4673" s="5">
        <v>520</v>
      </c>
    </row>
    <row r="4674" s="2" customFormat="1" ht="27" spans="1:10">
      <c r="A4674" s="6">
        <f>4672</f>
        <v>4672</v>
      </c>
      <c r="B4674" s="6" t="s">
        <v>12115</v>
      </c>
      <c r="C4674" s="6" t="s">
        <v>12</v>
      </c>
      <c r="D4674" s="6" t="s">
        <v>11447</v>
      </c>
      <c r="E4674" s="6" t="s">
        <v>12104</v>
      </c>
      <c r="F4674" s="6" t="s">
        <v>12116</v>
      </c>
      <c r="G4674" s="6" t="s">
        <v>16</v>
      </c>
      <c r="H4674" s="5">
        <v>4</v>
      </c>
      <c r="I4674" s="6" t="s">
        <v>12117</v>
      </c>
      <c r="J4674" s="5">
        <v>2040</v>
      </c>
    </row>
    <row r="4675" s="2" customFormat="1" spans="1:10">
      <c r="A4675" s="6">
        <f>4673</f>
        <v>4673</v>
      </c>
      <c r="B4675" s="6" t="s">
        <v>12118</v>
      </c>
      <c r="C4675" s="6" t="s">
        <v>12</v>
      </c>
      <c r="D4675" s="6" t="s">
        <v>11447</v>
      </c>
      <c r="E4675" s="6" t="s">
        <v>12104</v>
      </c>
      <c r="F4675" s="6" t="s">
        <v>12119</v>
      </c>
      <c r="G4675" s="6" t="s">
        <v>16</v>
      </c>
      <c r="H4675" s="5">
        <v>1</v>
      </c>
      <c r="I4675" s="6" t="s">
        <v>12119</v>
      </c>
      <c r="J4675" s="5">
        <v>198</v>
      </c>
    </row>
    <row r="4676" s="2" customFormat="1" spans="1:10">
      <c r="A4676" s="6">
        <f>4674</f>
        <v>4674</v>
      </c>
      <c r="B4676" s="6" t="s">
        <v>12120</v>
      </c>
      <c r="C4676" s="6" t="s">
        <v>12</v>
      </c>
      <c r="D4676" s="6" t="s">
        <v>11447</v>
      </c>
      <c r="E4676" s="6" t="s">
        <v>12104</v>
      </c>
      <c r="F4676" s="6" t="s">
        <v>12121</v>
      </c>
      <c r="G4676" s="6" t="s">
        <v>16</v>
      </c>
      <c r="H4676" s="5">
        <v>1</v>
      </c>
      <c r="I4676" s="6" t="s">
        <v>12121</v>
      </c>
      <c r="J4676" s="5">
        <v>247</v>
      </c>
    </row>
    <row r="4677" s="2" customFormat="1" spans="1:10">
      <c r="A4677" s="6">
        <f>4675</f>
        <v>4675</v>
      </c>
      <c r="B4677" s="6" t="s">
        <v>12122</v>
      </c>
      <c r="C4677" s="6" t="s">
        <v>12</v>
      </c>
      <c r="D4677" s="6" t="s">
        <v>11447</v>
      </c>
      <c r="E4677" s="6" t="s">
        <v>12104</v>
      </c>
      <c r="F4677" s="6" t="s">
        <v>12123</v>
      </c>
      <c r="G4677" s="6" t="s">
        <v>16</v>
      </c>
      <c r="H4677" s="5">
        <v>1</v>
      </c>
      <c r="I4677" s="6" t="s">
        <v>12123</v>
      </c>
      <c r="J4677" s="5">
        <v>265</v>
      </c>
    </row>
    <row r="4678" s="2" customFormat="1" spans="1:10">
      <c r="A4678" s="6">
        <f>4676</f>
        <v>4676</v>
      </c>
      <c r="B4678" s="6" t="s">
        <v>12124</v>
      </c>
      <c r="C4678" s="6" t="s">
        <v>12</v>
      </c>
      <c r="D4678" s="6" t="s">
        <v>11447</v>
      </c>
      <c r="E4678" s="6" t="s">
        <v>12104</v>
      </c>
      <c r="F4678" s="6" t="s">
        <v>12125</v>
      </c>
      <c r="G4678" s="6" t="s">
        <v>16</v>
      </c>
      <c r="H4678" s="5">
        <v>1</v>
      </c>
      <c r="I4678" s="6" t="s">
        <v>12125</v>
      </c>
      <c r="J4678" s="5">
        <v>275</v>
      </c>
    </row>
    <row r="4679" s="2" customFormat="1" ht="27" spans="1:10">
      <c r="A4679" s="6">
        <f>4677</f>
        <v>4677</v>
      </c>
      <c r="B4679" s="6" t="s">
        <v>12126</v>
      </c>
      <c r="C4679" s="6" t="s">
        <v>12</v>
      </c>
      <c r="D4679" s="6" t="s">
        <v>11447</v>
      </c>
      <c r="E4679" s="6" t="s">
        <v>12104</v>
      </c>
      <c r="F4679" s="6" t="s">
        <v>12127</v>
      </c>
      <c r="G4679" s="6" t="s">
        <v>16</v>
      </c>
      <c r="H4679" s="5">
        <v>4</v>
      </c>
      <c r="I4679" s="6" t="s">
        <v>12128</v>
      </c>
      <c r="J4679" s="5">
        <v>940</v>
      </c>
    </row>
    <row r="4680" s="2" customFormat="1" spans="1:10">
      <c r="A4680" s="6">
        <f>4678</f>
        <v>4678</v>
      </c>
      <c r="B4680" s="6" t="s">
        <v>12129</v>
      </c>
      <c r="C4680" s="6" t="s">
        <v>12</v>
      </c>
      <c r="D4680" s="6" t="s">
        <v>11447</v>
      </c>
      <c r="E4680" s="6" t="s">
        <v>12104</v>
      </c>
      <c r="F4680" s="6" t="s">
        <v>12130</v>
      </c>
      <c r="G4680" s="6" t="s">
        <v>16</v>
      </c>
      <c r="H4680" s="5">
        <v>1</v>
      </c>
      <c r="I4680" s="6" t="s">
        <v>12130</v>
      </c>
      <c r="J4680" s="5">
        <v>247</v>
      </c>
    </row>
    <row r="4681" s="2" customFormat="1" spans="1:10">
      <c r="A4681" s="6">
        <f>4679</f>
        <v>4679</v>
      </c>
      <c r="B4681" s="6" t="s">
        <v>12131</v>
      </c>
      <c r="C4681" s="6" t="s">
        <v>12</v>
      </c>
      <c r="D4681" s="6" t="s">
        <v>11447</v>
      </c>
      <c r="E4681" s="6" t="s">
        <v>12104</v>
      </c>
      <c r="F4681" s="6" t="s">
        <v>12130</v>
      </c>
      <c r="G4681" s="6" t="s">
        <v>16</v>
      </c>
      <c r="H4681" s="5">
        <v>1</v>
      </c>
      <c r="I4681" s="6" t="s">
        <v>12130</v>
      </c>
      <c r="J4681" s="5">
        <v>225</v>
      </c>
    </row>
    <row r="4682" s="2" customFormat="1" spans="1:10">
      <c r="A4682" s="6">
        <f>4680</f>
        <v>4680</v>
      </c>
      <c r="B4682" s="6" t="s">
        <v>12132</v>
      </c>
      <c r="C4682" s="6" t="s">
        <v>12</v>
      </c>
      <c r="D4682" s="6" t="s">
        <v>11447</v>
      </c>
      <c r="E4682" s="6" t="s">
        <v>12104</v>
      </c>
      <c r="F4682" s="6" t="s">
        <v>11954</v>
      </c>
      <c r="G4682" s="6" t="s">
        <v>16</v>
      </c>
      <c r="H4682" s="5">
        <v>1</v>
      </c>
      <c r="I4682" s="6" t="s">
        <v>11954</v>
      </c>
      <c r="J4682" s="5">
        <v>265</v>
      </c>
    </row>
    <row r="4683" s="2" customFormat="1" spans="1:10">
      <c r="A4683" s="6">
        <f>4681</f>
        <v>4681</v>
      </c>
      <c r="B4683" s="6" t="s">
        <v>12133</v>
      </c>
      <c r="C4683" s="6" t="s">
        <v>12</v>
      </c>
      <c r="D4683" s="6" t="s">
        <v>11447</v>
      </c>
      <c r="E4683" s="6" t="s">
        <v>12104</v>
      </c>
      <c r="F4683" s="6" t="s">
        <v>12134</v>
      </c>
      <c r="G4683" s="6" t="s">
        <v>16</v>
      </c>
      <c r="H4683" s="5">
        <v>1</v>
      </c>
      <c r="I4683" s="6" t="s">
        <v>12134</v>
      </c>
      <c r="J4683" s="5">
        <v>225</v>
      </c>
    </row>
    <row r="4684" s="2" customFormat="1" spans="1:10">
      <c r="A4684" s="6">
        <f>4682</f>
        <v>4682</v>
      </c>
      <c r="B4684" s="6" t="s">
        <v>12135</v>
      </c>
      <c r="C4684" s="6" t="s">
        <v>12</v>
      </c>
      <c r="D4684" s="6" t="s">
        <v>11447</v>
      </c>
      <c r="E4684" s="6" t="s">
        <v>12104</v>
      </c>
      <c r="F4684" s="6" t="s">
        <v>12136</v>
      </c>
      <c r="G4684" s="6" t="s">
        <v>16</v>
      </c>
      <c r="H4684" s="5">
        <v>1</v>
      </c>
      <c r="I4684" s="6" t="s">
        <v>12136</v>
      </c>
      <c r="J4684" s="5">
        <v>225</v>
      </c>
    </row>
    <row r="4685" s="2" customFormat="1" spans="1:10">
      <c r="A4685" s="6">
        <f>4683</f>
        <v>4683</v>
      </c>
      <c r="B4685" s="6" t="s">
        <v>12137</v>
      </c>
      <c r="C4685" s="6" t="s">
        <v>12</v>
      </c>
      <c r="D4685" s="6" t="s">
        <v>11447</v>
      </c>
      <c r="E4685" s="6" t="s">
        <v>12104</v>
      </c>
      <c r="F4685" s="6" t="s">
        <v>12138</v>
      </c>
      <c r="G4685" s="6" t="s">
        <v>16</v>
      </c>
      <c r="H4685" s="5">
        <v>1</v>
      </c>
      <c r="I4685" s="6" t="s">
        <v>12138</v>
      </c>
      <c r="J4685" s="5">
        <v>265</v>
      </c>
    </row>
    <row r="4686" s="2" customFormat="1" spans="1:10">
      <c r="A4686" s="6">
        <f>4684</f>
        <v>4684</v>
      </c>
      <c r="B4686" s="6" t="s">
        <v>12139</v>
      </c>
      <c r="C4686" s="6" t="s">
        <v>12</v>
      </c>
      <c r="D4686" s="6" t="s">
        <v>11447</v>
      </c>
      <c r="E4686" s="6" t="s">
        <v>12104</v>
      </c>
      <c r="F4686" s="6" t="s">
        <v>12140</v>
      </c>
      <c r="G4686" s="6" t="s">
        <v>16</v>
      </c>
      <c r="H4686" s="5">
        <v>1</v>
      </c>
      <c r="I4686" s="6" t="s">
        <v>12140</v>
      </c>
      <c r="J4686" s="5">
        <v>225</v>
      </c>
    </row>
    <row r="4687" s="2" customFormat="1" spans="1:10">
      <c r="A4687" s="6">
        <f>4685</f>
        <v>4685</v>
      </c>
      <c r="B4687" s="6" t="s">
        <v>12141</v>
      </c>
      <c r="C4687" s="6" t="s">
        <v>12</v>
      </c>
      <c r="D4687" s="6" t="s">
        <v>11447</v>
      </c>
      <c r="E4687" s="6" t="s">
        <v>12104</v>
      </c>
      <c r="F4687" s="6" t="s">
        <v>12142</v>
      </c>
      <c r="G4687" s="6" t="s">
        <v>16</v>
      </c>
      <c r="H4687" s="5">
        <v>1</v>
      </c>
      <c r="I4687" s="6" t="s">
        <v>12142</v>
      </c>
      <c r="J4687" s="5">
        <v>225</v>
      </c>
    </row>
    <row r="4688" s="2" customFormat="1" spans="1:10">
      <c r="A4688" s="6">
        <f>4686</f>
        <v>4686</v>
      </c>
      <c r="B4688" s="6" t="s">
        <v>12143</v>
      </c>
      <c r="C4688" s="6" t="s">
        <v>12</v>
      </c>
      <c r="D4688" s="6" t="s">
        <v>11447</v>
      </c>
      <c r="E4688" s="6" t="s">
        <v>12104</v>
      </c>
      <c r="F4688" s="6" t="s">
        <v>2344</v>
      </c>
      <c r="G4688" s="6" t="s">
        <v>16</v>
      </c>
      <c r="H4688" s="5">
        <v>2</v>
      </c>
      <c r="I4688" s="6" t="s">
        <v>12144</v>
      </c>
      <c r="J4688" s="5">
        <v>530</v>
      </c>
    </row>
    <row r="4689" s="2" customFormat="1" spans="1:10">
      <c r="A4689" s="6">
        <f>4687</f>
        <v>4687</v>
      </c>
      <c r="B4689" s="6" t="s">
        <v>12145</v>
      </c>
      <c r="C4689" s="6" t="s">
        <v>12</v>
      </c>
      <c r="D4689" s="6" t="s">
        <v>11447</v>
      </c>
      <c r="E4689" s="6" t="s">
        <v>12104</v>
      </c>
      <c r="F4689" s="6" t="s">
        <v>12146</v>
      </c>
      <c r="G4689" s="6" t="s">
        <v>16</v>
      </c>
      <c r="H4689" s="5">
        <v>2</v>
      </c>
      <c r="I4689" s="6" t="s">
        <v>12147</v>
      </c>
      <c r="J4689" s="5">
        <v>420</v>
      </c>
    </row>
    <row r="4690" s="2" customFormat="1" spans="1:10">
      <c r="A4690" s="6">
        <f>4688</f>
        <v>4688</v>
      </c>
      <c r="B4690" s="6" t="s">
        <v>12148</v>
      </c>
      <c r="C4690" s="6" t="s">
        <v>12</v>
      </c>
      <c r="D4690" s="6" t="s">
        <v>11447</v>
      </c>
      <c r="E4690" s="6" t="s">
        <v>12104</v>
      </c>
      <c r="F4690" s="6" t="s">
        <v>12149</v>
      </c>
      <c r="G4690" s="6" t="s">
        <v>16</v>
      </c>
      <c r="H4690" s="5">
        <v>1</v>
      </c>
      <c r="I4690" s="6" t="s">
        <v>12149</v>
      </c>
      <c r="J4690" s="5">
        <v>238</v>
      </c>
    </row>
    <row r="4691" s="2" customFormat="1" spans="1:10">
      <c r="A4691" s="6">
        <f>4689</f>
        <v>4689</v>
      </c>
      <c r="B4691" s="6" t="s">
        <v>12150</v>
      </c>
      <c r="C4691" s="6" t="s">
        <v>12</v>
      </c>
      <c r="D4691" s="6" t="s">
        <v>11447</v>
      </c>
      <c r="E4691" s="6" t="s">
        <v>12104</v>
      </c>
      <c r="F4691" s="6" t="s">
        <v>12151</v>
      </c>
      <c r="G4691" s="6" t="s">
        <v>16</v>
      </c>
      <c r="H4691" s="5">
        <v>3</v>
      </c>
      <c r="I4691" s="6" t="s">
        <v>12152</v>
      </c>
      <c r="J4691" s="5">
        <v>705</v>
      </c>
    </row>
    <row r="4692" s="2" customFormat="1" ht="27" spans="1:10">
      <c r="A4692" s="6">
        <f>4690</f>
        <v>4690</v>
      </c>
      <c r="B4692" s="6" t="s">
        <v>12153</v>
      </c>
      <c r="C4692" s="6" t="s">
        <v>12</v>
      </c>
      <c r="D4692" s="6" t="s">
        <v>11447</v>
      </c>
      <c r="E4692" s="6" t="s">
        <v>12104</v>
      </c>
      <c r="F4692" s="6" t="s">
        <v>12154</v>
      </c>
      <c r="G4692" s="6" t="s">
        <v>16</v>
      </c>
      <c r="H4692" s="5">
        <v>5</v>
      </c>
      <c r="I4692" s="6" t="s">
        <v>12155</v>
      </c>
      <c r="J4692" s="5">
        <v>1380</v>
      </c>
    </row>
    <row r="4693" s="2" customFormat="1" spans="1:10">
      <c r="A4693" s="6">
        <f>4691</f>
        <v>4691</v>
      </c>
      <c r="B4693" s="6" t="s">
        <v>12156</v>
      </c>
      <c r="C4693" s="6" t="s">
        <v>12</v>
      </c>
      <c r="D4693" s="6" t="s">
        <v>11447</v>
      </c>
      <c r="E4693" s="6" t="s">
        <v>12104</v>
      </c>
      <c r="F4693" s="6" t="s">
        <v>12157</v>
      </c>
      <c r="G4693" s="6" t="s">
        <v>16</v>
      </c>
      <c r="H4693" s="5">
        <v>1</v>
      </c>
      <c r="I4693" s="6" t="s">
        <v>12157</v>
      </c>
      <c r="J4693" s="5">
        <v>278</v>
      </c>
    </row>
    <row r="4694" s="2" customFormat="1" spans="1:10">
      <c r="A4694" s="6">
        <f>4692</f>
        <v>4692</v>
      </c>
      <c r="B4694" s="6" t="s">
        <v>12158</v>
      </c>
      <c r="C4694" s="6" t="s">
        <v>12</v>
      </c>
      <c r="D4694" s="6" t="s">
        <v>11447</v>
      </c>
      <c r="E4694" s="6" t="s">
        <v>12104</v>
      </c>
      <c r="F4694" s="6" t="s">
        <v>12159</v>
      </c>
      <c r="G4694" s="6" t="s">
        <v>16</v>
      </c>
      <c r="H4694" s="5">
        <v>1</v>
      </c>
      <c r="I4694" s="6" t="s">
        <v>12159</v>
      </c>
      <c r="J4694" s="5">
        <v>295</v>
      </c>
    </row>
    <row r="4695" s="2" customFormat="1" spans="1:10">
      <c r="A4695" s="6">
        <f>4693</f>
        <v>4693</v>
      </c>
      <c r="B4695" s="6" t="s">
        <v>12160</v>
      </c>
      <c r="C4695" s="6" t="s">
        <v>12</v>
      </c>
      <c r="D4695" s="6" t="s">
        <v>11447</v>
      </c>
      <c r="E4695" s="6" t="s">
        <v>12104</v>
      </c>
      <c r="F4695" s="6" t="s">
        <v>12161</v>
      </c>
      <c r="G4695" s="6" t="s">
        <v>16</v>
      </c>
      <c r="H4695" s="5">
        <v>1</v>
      </c>
      <c r="I4695" s="6" t="s">
        <v>12161</v>
      </c>
      <c r="J4695" s="5">
        <v>265</v>
      </c>
    </row>
    <row r="4696" s="2" customFormat="1" spans="1:10">
      <c r="A4696" s="6">
        <f>4694</f>
        <v>4694</v>
      </c>
      <c r="B4696" s="6" t="s">
        <v>12162</v>
      </c>
      <c r="C4696" s="6" t="s">
        <v>12</v>
      </c>
      <c r="D4696" s="6" t="s">
        <v>11447</v>
      </c>
      <c r="E4696" s="6" t="s">
        <v>12104</v>
      </c>
      <c r="F4696" s="6" t="s">
        <v>12163</v>
      </c>
      <c r="G4696" s="6" t="s">
        <v>16</v>
      </c>
      <c r="H4696" s="5">
        <v>1</v>
      </c>
      <c r="I4696" s="6" t="s">
        <v>12163</v>
      </c>
      <c r="J4696" s="5">
        <v>247</v>
      </c>
    </row>
    <row r="4697" s="2" customFormat="1" spans="1:10">
      <c r="A4697" s="6">
        <f>4695</f>
        <v>4695</v>
      </c>
      <c r="B4697" s="6" t="s">
        <v>12164</v>
      </c>
      <c r="C4697" s="6" t="s">
        <v>12</v>
      </c>
      <c r="D4697" s="6" t="s">
        <v>11447</v>
      </c>
      <c r="E4697" s="6" t="s">
        <v>12104</v>
      </c>
      <c r="F4697" s="6" t="s">
        <v>12165</v>
      </c>
      <c r="G4697" s="6" t="s">
        <v>16</v>
      </c>
      <c r="H4697" s="5">
        <v>1</v>
      </c>
      <c r="I4697" s="6" t="s">
        <v>12165</v>
      </c>
      <c r="J4697" s="5">
        <v>225</v>
      </c>
    </row>
    <row r="4698" s="2" customFormat="1" spans="1:10">
      <c r="A4698" s="6">
        <f>4696</f>
        <v>4696</v>
      </c>
      <c r="B4698" s="6" t="s">
        <v>12166</v>
      </c>
      <c r="C4698" s="6" t="s">
        <v>12</v>
      </c>
      <c r="D4698" s="6" t="s">
        <v>11447</v>
      </c>
      <c r="E4698" s="6" t="s">
        <v>12104</v>
      </c>
      <c r="F4698" s="6" t="s">
        <v>12167</v>
      </c>
      <c r="G4698" s="6" t="s">
        <v>16</v>
      </c>
      <c r="H4698" s="5">
        <v>3</v>
      </c>
      <c r="I4698" s="6" t="s">
        <v>12168</v>
      </c>
      <c r="J4698" s="5">
        <v>615</v>
      </c>
    </row>
    <row r="4699" s="2" customFormat="1" spans="1:10">
      <c r="A4699" s="6">
        <f>4697</f>
        <v>4697</v>
      </c>
      <c r="B4699" s="6" t="s">
        <v>12169</v>
      </c>
      <c r="C4699" s="6" t="s">
        <v>12</v>
      </c>
      <c r="D4699" s="6" t="s">
        <v>11447</v>
      </c>
      <c r="E4699" s="6" t="s">
        <v>12104</v>
      </c>
      <c r="F4699" s="6" t="s">
        <v>12170</v>
      </c>
      <c r="G4699" s="6" t="s">
        <v>16</v>
      </c>
      <c r="H4699" s="5">
        <v>1</v>
      </c>
      <c r="I4699" s="6" t="s">
        <v>12170</v>
      </c>
      <c r="J4699" s="5">
        <v>265</v>
      </c>
    </row>
    <row r="4700" s="2" customFormat="1" spans="1:10">
      <c r="A4700" s="6">
        <f>4698</f>
        <v>4698</v>
      </c>
      <c r="B4700" s="6" t="s">
        <v>12171</v>
      </c>
      <c r="C4700" s="6" t="s">
        <v>12</v>
      </c>
      <c r="D4700" s="6" t="s">
        <v>11447</v>
      </c>
      <c r="E4700" s="6" t="s">
        <v>12104</v>
      </c>
      <c r="F4700" s="6" t="s">
        <v>12172</v>
      </c>
      <c r="G4700" s="6" t="s">
        <v>16</v>
      </c>
      <c r="H4700" s="5">
        <v>1</v>
      </c>
      <c r="I4700" s="6" t="s">
        <v>12172</v>
      </c>
      <c r="J4700" s="5">
        <v>255</v>
      </c>
    </row>
    <row r="4701" s="2" customFormat="1" spans="1:10">
      <c r="A4701" s="6">
        <f>4699</f>
        <v>4699</v>
      </c>
      <c r="B4701" s="6" t="s">
        <v>12173</v>
      </c>
      <c r="C4701" s="6" t="s">
        <v>12</v>
      </c>
      <c r="D4701" s="6" t="s">
        <v>11447</v>
      </c>
      <c r="E4701" s="6" t="s">
        <v>12104</v>
      </c>
      <c r="F4701" s="6" t="s">
        <v>12174</v>
      </c>
      <c r="G4701" s="6" t="s">
        <v>16</v>
      </c>
      <c r="H4701" s="5">
        <v>3</v>
      </c>
      <c r="I4701" s="6" t="s">
        <v>12175</v>
      </c>
      <c r="J4701" s="5">
        <v>610</v>
      </c>
    </row>
    <row r="4702" s="2" customFormat="1" spans="1:10">
      <c r="A4702" s="6">
        <f>4700</f>
        <v>4700</v>
      </c>
      <c r="B4702" s="6" t="s">
        <v>12176</v>
      </c>
      <c r="C4702" s="6" t="s">
        <v>12</v>
      </c>
      <c r="D4702" s="6" t="s">
        <v>11447</v>
      </c>
      <c r="E4702" s="6" t="s">
        <v>12104</v>
      </c>
      <c r="F4702" s="6" t="s">
        <v>12177</v>
      </c>
      <c r="G4702" s="6" t="s">
        <v>16</v>
      </c>
      <c r="H4702" s="5">
        <v>1</v>
      </c>
      <c r="I4702" s="6" t="s">
        <v>12177</v>
      </c>
      <c r="J4702" s="5">
        <v>198</v>
      </c>
    </row>
    <row r="4703" s="2" customFormat="1" spans="1:10">
      <c r="A4703" s="6">
        <f>4701</f>
        <v>4701</v>
      </c>
      <c r="B4703" s="6" t="s">
        <v>12178</v>
      </c>
      <c r="C4703" s="6" t="s">
        <v>12</v>
      </c>
      <c r="D4703" s="6" t="s">
        <v>11447</v>
      </c>
      <c r="E4703" s="6" t="s">
        <v>12104</v>
      </c>
      <c r="F4703" s="6" t="s">
        <v>12179</v>
      </c>
      <c r="G4703" s="6" t="s">
        <v>16</v>
      </c>
      <c r="H4703" s="5">
        <v>1</v>
      </c>
      <c r="I4703" s="6" t="s">
        <v>12179</v>
      </c>
      <c r="J4703" s="5">
        <v>265</v>
      </c>
    </row>
    <row r="4704" s="2" customFormat="1" spans="1:10">
      <c r="A4704" s="6">
        <f>4702</f>
        <v>4702</v>
      </c>
      <c r="B4704" s="6" t="s">
        <v>12180</v>
      </c>
      <c r="C4704" s="6" t="s">
        <v>12</v>
      </c>
      <c r="D4704" s="6" t="s">
        <v>11447</v>
      </c>
      <c r="E4704" s="6" t="s">
        <v>12104</v>
      </c>
      <c r="F4704" s="6" t="s">
        <v>12181</v>
      </c>
      <c r="G4704" s="6" t="s">
        <v>16</v>
      </c>
      <c r="H4704" s="5">
        <v>1</v>
      </c>
      <c r="I4704" s="6" t="s">
        <v>12181</v>
      </c>
      <c r="J4704" s="5">
        <v>300</v>
      </c>
    </row>
    <row r="4705" s="2" customFormat="1" spans="1:10">
      <c r="A4705" s="6">
        <f>4703</f>
        <v>4703</v>
      </c>
      <c r="B4705" s="6" t="s">
        <v>12182</v>
      </c>
      <c r="C4705" s="6" t="s">
        <v>12</v>
      </c>
      <c r="D4705" s="6" t="s">
        <v>11447</v>
      </c>
      <c r="E4705" s="6" t="s">
        <v>12104</v>
      </c>
      <c r="F4705" s="6" t="s">
        <v>12183</v>
      </c>
      <c r="G4705" s="6" t="s">
        <v>16</v>
      </c>
      <c r="H4705" s="5">
        <v>1</v>
      </c>
      <c r="I4705" s="6" t="s">
        <v>12183</v>
      </c>
      <c r="J4705" s="5">
        <v>325</v>
      </c>
    </row>
    <row r="4706" s="2" customFormat="1" spans="1:10">
      <c r="A4706" s="6">
        <f>4704</f>
        <v>4704</v>
      </c>
      <c r="B4706" s="6" t="s">
        <v>12184</v>
      </c>
      <c r="C4706" s="6" t="s">
        <v>12</v>
      </c>
      <c r="D4706" s="6" t="s">
        <v>11447</v>
      </c>
      <c r="E4706" s="6" t="s">
        <v>12185</v>
      </c>
      <c r="F4706" s="6" t="s">
        <v>12186</v>
      </c>
      <c r="G4706" s="6" t="s">
        <v>16</v>
      </c>
      <c r="H4706" s="5">
        <v>1</v>
      </c>
      <c r="I4706" s="6" t="s">
        <v>12186</v>
      </c>
      <c r="J4706" s="5">
        <v>400</v>
      </c>
    </row>
    <row r="4707" s="2" customFormat="1" spans="1:10">
      <c r="A4707" s="6">
        <f>4705</f>
        <v>4705</v>
      </c>
      <c r="B4707" s="6" t="s">
        <v>12187</v>
      </c>
      <c r="C4707" s="6" t="s">
        <v>12</v>
      </c>
      <c r="D4707" s="6" t="s">
        <v>11447</v>
      </c>
      <c r="E4707" s="6" t="s">
        <v>12185</v>
      </c>
      <c r="F4707" s="6" t="s">
        <v>12188</v>
      </c>
      <c r="G4707" s="6" t="s">
        <v>16</v>
      </c>
      <c r="H4707" s="5">
        <v>1</v>
      </c>
      <c r="I4707" s="6" t="s">
        <v>12188</v>
      </c>
      <c r="J4707" s="5">
        <v>260</v>
      </c>
    </row>
    <row r="4708" s="2" customFormat="1" spans="1:10">
      <c r="A4708" s="6">
        <f>4706</f>
        <v>4706</v>
      </c>
      <c r="B4708" s="6" t="s">
        <v>12189</v>
      </c>
      <c r="C4708" s="6" t="s">
        <v>12</v>
      </c>
      <c r="D4708" s="6" t="s">
        <v>11447</v>
      </c>
      <c r="E4708" s="6" t="s">
        <v>12185</v>
      </c>
      <c r="F4708" s="6" t="s">
        <v>12190</v>
      </c>
      <c r="G4708" s="6" t="s">
        <v>16</v>
      </c>
      <c r="H4708" s="5">
        <v>1</v>
      </c>
      <c r="I4708" s="6" t="s">
        <v>12190</v>
      </c>
      <c r="J4708" s="5">
        <v>480</v>
      </c>
    </row>
    <row r="4709" s="2" customFormat="1" ht="40.5" spans="1:10">
      <c r="A4709" s="6">
        <f>4707</f>
        <v>4707</v>
      </c>
      <c r="B4709" s="6" t="s">
        <v>12191</v>
      </c>
      <c r="C4709" s="6" t="s">
        <v>12</v>
      </c>
      <c r="D4709" s="6" t="s">
        <v>11447</v>
      </c>
      <c r="E4709" s="6" t="s">
        <v>12185</v>
      </c>
      <c r="F4709" s="6" t="s">
        <v>12192</v>
      </c>
      <c r="G4709" s="6" t="s">
        <v>16</v>
      </c>
      <c r="H4709" s="5">
        <v>7</v>
      </c>
      <c r="I4709" s="6" t="s">
        <v>12193</v>
      </c>
      <c r="J4709" s="5">
        <v>1820</v>
      </c>
    </row>
    <row r="4710" s="2" customFormat="1" ht="27" spans="1:10">
      <c r="A4710" s="6">
        <f>4708</f>
        <v>4708</v>
      </c>
      <c r="B4710" s="6" t="s">
        <v>12194</v>
      </c>
      <c r="C4710" s="6" t="s">
        <v>12</v>
      </c>
      <c r="D4710" s="6" t="s">
        <v>11447</v>
      </c>
      <c r="E4710" s="6" t="s">
        <v>12185</v>
      </c>
      <c r="F4710" s="6" t="s">
        <v>12195</v>
      </c>
      <c r="G4710" s="6" t="s">
        <v>16</v>
      </c>
      <c r="H4710" s="5">
        <v>4</v>
      </c>
      <c r="I4710" s="6" t="s">
        <v>12196</v>
      </c>
      <c r="J4710" s="5">
        <v>1000</v>
      </c>
    </row>
    <row r="4711" s="2" customFormat="1" spans="1:10">
      <c r="A4711" s="6">
        <f>4709</f>
        <v>4709</v>
      </c>
      <c r="B4711" s="6" t="s">
        <v>12197</v>
      </c>
      <c r="C4711" s="6" t="s">
        <v>12</v>
      </c>
      <c r="D4711" s="6" t="s">
        <v>11447</v>
      </c>
      <c r="E4711" s="6" t="s">
        <v>12185</v>
      </c>
      <c r="F4711" s="6" t="s">
        <v>12198</v>
      </c>
      <c r="G4711" s="6" t="s">
        <v>16</v>
      </c>
      <c r="H4711" s="5">
        <v>1</v>
      </c>
      <c r="I4711" s="6" t="s">
        <v>12198</v>
      </c>
      <c r="J4711" s="5">
        <v>573</v>
      </c>
    </row>
    <row r="4712" s="2" customFormat="1" spans="1:10">
      <c r="A4712" s="6">
        <f>4710</f>
        <v>4710</v>
      </c>
      <c r="B4712" s="6" t="s">
        <v>12199</v>
      </c>
      <c r="C4712" s="6" t="s">
        <v>12</v>
      </c>
      <c r="D4712" s="6" t="s">
        <v>11447</v>
      </c>
      <c r="E4712" s="6" t="s">
        <v>12185</v>
      </c>
      <c r="F4712" s="6" t="s">
        <v>12200</v>
      </c>
      <c r="G4712" s="6" t="s">
        <v>16</v>
      </c>
      <c r="H4712" s="5">
        <v>2</v>
      </c>
      <c r="I4712" s="6" t="s">
        <v>12201</v>
      </c>
      <c r="J4712" s="5">
        <v>660</v>
      </c>
    </row>
    <row r="4713" s="2" customFormat="1" spans="1:10">
      <c r="A4713" s="6">
        <f>4711</f>
        <v>4711</v>
      </c>
      <c r="B4713" s="6" t="s">
        <v>12202</v>
      </c>
      <c r="C4713" s="6" t="s">
        <v>12</v>
      </c>
      <c r="D4713" s="6" t="s">
        <v>11447</v>
      </c>
      <c r="E4713" s="6" t="s">
        <v>12185</v>
      </c>
      <c r="F4713" s="6" t="s">
        <v>12203</v>
      </c>
      <c r="G4713" s="6" t="s">
        <v>16</v>
      </c>
      <c r="H4713" s="5">
        <v>3</v>
      </c>
      <c r="I4713" s="6" t="s">
        <v>12204</v>
      </c>
      <c r="J4713" s="5">
        <v>1320</v>
      </c>
    </row>
    <row r="4714" s="2" customFormat="1" ht="27" spans="1:10">
      <c r="A4714" s="6">
        <f>4712</f>
        <v>4712</v>
      </c>
      <c r="B4714" s="6" t="s">
        <v>12205</v>
      </c>
      <c r="C4714" s="6" t="s">
        <v>12</v>
      </c>
      <c r="D4714" s="6" t="s">
        <v>11447</v>
      </c>
      <c r="E4714" s="6" t="s">
        <v>12185</v>
      </c>
      <c r="F4714" s="6" t="s">
        <v>12206</v>
      </c>
      <c r="G4714" s="6" t="s">
        <v>16</v>
      </c>
      <c r="H4714" s="5">
        <v>4</v>
      </c>
      <c r="I4714" s="6" t="s">
        <v>12207</v>
      </c>
      <c r="J4714" s="5">
        <v>1320</v>
      </c>
    </row>
    <row r="4715" s="2" customFormat="1" spans="1:10">
      <c r="A4715" s="6">
        <f>4713</f>
        <v>4713</v>
      </c>
      <c r="B4715" s="6" t="s">
        <v>12208</v>
      </c>
      <c r="C4715" s="6" t="s">
        <v>12</v>
      </c>
      <c r="D4715" s="6" t="s">
        <v>11447</v>
      </c>
      <c r="E4715" s="6" t="s">
        <v>12185</v>
      </c>
      <c r="F4715" s="6" t="s">
        <v>12209</v>
      </c>
      <c r="G4715" s="6" t="s">
        <v>16</v>
      </c>
      <c r="H4715" s="5">
        <v>1</v>
      </c>
      <c r="I4715" s="6" t="s">
        <v>12209</v>
      </c>
      <c r="J4715" s="5">
        <v>198</v>
      </c>
    </row>
    <row r="4716" s="2" customFormat="1" spans="1:10">
      <c r="A4716" s="6">
        <f>4714</f>
        <v>4714</v>
      </c>
      <c r="B4716" s="6" t="s">
        <v>12210</v>
      </c>
      <c r="C4716" s="6" t="s">
        <v>12</v>
      </c>
      <c r="D4716" s="6" t="s">
        <v>11447</v>
      </c>
      <c r="E4716" s="6" t="s">
        <v>12185</v>
      </c>
      <c r="F4716" s="6" t="s">
        <v>12211</v>
      </c>
      <c r="G4716" s="6" t="s">
        <v>16</v>
      </c>
      <c r="H4716" s="5">
        <v>1</v>
      </c>
      <c r="I4716" s="6" t="s">
        <v>12211</v>
      </c>
      <c r="J4716" s="5">
        <v>268</v>
      </c>
    </row>
    <row r="4717" s="2" customFormat="1" spans="1:10">
      <c r="A4717" s="6">
        <f>4715</f>
        <v>4715</v>
      </c>
      <c r="B4717" s="6" t="s">
        <v>12212</v>
      </c>
      <c r="C4717" s="6" t="s">
        <v>12</v>
      </c>
      <c r="D4717" s="6" t="s">
        <v>11447</v>
      </c>
      <c r="E4717" s="6" t="s">
        <v>12185</v>
      </c>
      <c r="F4717" s="6" t="s">
        <v>12213</v>
      </c>
      <c r="G4717" s="6" t="s">
        <v>16</v>
      </c>
      <c r="H4717" s="5">
        <v>1</v>
      </c>
      <c r="I4717" s="6" t="s">
        <v>12213</v>
      </c>
      <c r="J4717" s="5">
        <v>220</v>
      </c>
    </row>
    <row r="4718" s="2" customFormat="1" spans="1:10">
      <c r="A4718" s="6">
        <f>4716</f>
        <v>4716</v>
      </c>
      <c r="B4718" s="6" t="s">
        <v>12214</v>
      </c>
      <c r="C4718" s="6" t="s">
        <v>12</v>
      </c>
      <c r="D4718" s="6" t="s">
        <v>11447</v>
      </c>
      <c r="E4718" s="6" t="s">
        <v>12185</v>
      </c>
      <c r="F4718" s="6" t="s">
        <v>12215</v>
      </c>
      <c r="G4718" s="6" t="s">
        <v>16</v>
      </c>
      <c r="H4718" s="5">
        <v>1</v>
      </c>
      <c r="I4718" s="6" t="s">
        <v>12215</v>
      </c>
      <c r="J4718" s="5">
        <v>275</v>
      </c>
    </row>
    <row r="4719" s="2" customFormat="1" spans="1:10">
      <c r="A4719" s="6">
        <f>4717</f>
        <v>4717</v>
      </c>
      <c r="B4719" s="6" t="s">
        <v>12216</v>
      </c>
      <c r="C4719" s="6" t="s">
        <v>12</v>
      </c>
      <c r="D4719" s="6" t="s">
        <v>11447</v>
      </c>
      <c r="E4719" s="6" t="s">
        <v>12185</v>
      </c>
      <c r="F4719" s="6" t="s">
        <v>12217</v>
      </c>
      <c r="G4719" s="6" t="s">
        <v>16</v>
      </c>
      <c r="H4719" s="5">
        <v>3</v>
      </c>
      <c r="I4719" s="6" t="s">
        <v>12218</v>
      </c>
      <c r="J4719" s="5">
        <v>800</v>
      </c>
    </row>
    <row r="4720" s="2" customFormat="1" spans="1:10">
      <c r="A4720" s="6">
        <f>4718</f>
        <v>4718</v>
      </c>
      <c r="B4720" s="6" t="s">
        <v>12219</v>
      </c>
      <c r="C4720" s="6" t="s">
        <v>12</v>
      </c>
      <c r="D4720" s="6" t="s">
        <v>11447</v>
      </c>
      <c r="E4720" s="6" t="s">
        <v>12185</v>
      </c>
      <c r="F4720" s="6" t="s">
        <v>12220</v>
      </c>
      <c r="G4720" s="6" t="s">
        <v>16</v>
      </c>
      <c r="H4720" s="5">
        <v>1</v>
      </c>
      <c r="I4720" s="6" t="s">
        <v>12220</v>
      </c>
      <c r="J4720" s="5">
        <v>198</v>
      </c>
    </row>
    <row r="4721" s="2" customFormat="1" spans="1:10">
      <c r="A4721" s="6">
        <f>4719</f>
        <v>4719</v>
      </c>
      <c r="B4721" s="6" t="s">
        <v>12221</v>
      </c>
      <c r="C4721" s="6" t="s">
        <v>12</v>
      </c>
      <c r="D4721" s="6" t="s">
        <v>11447</v>
      </c>
      <c r="E4721" s="6" t="s">
        <v>12185</v>
      </c>
      <c r="F4721" s="6" t="s">
        <v>12222</v>
      </c>
      <c r="G4721" s="6" t="s">
        <v>16</v>
      </c>
      <c r="H4721" s="5">
        <v>2</v>
      </c>
      <c r="I4721" s="6" t="s">
        <v>12223</v>
      </c>
      <c r="J4721" s="5">
        <v>630</v>
      </c>
    </row>
    <row r="4722" s="2" customFormat="1" spans="1:10">
      <c r="A4722" s="6">
        <f>4720</f>
        <v>4720</v>
      </c>
      <c r="B4722" s="6" t="s">
        <v>12224</v>
      </c>
      <c r="C4722" s="6" t="s">
        <v>12</v>
      </c>
      <c r="D4722" s="6" t="s">
        <v>11447</v>
      </c>
      <c r="E4722" s="6" t="s">
        <v>12185</v>
      </c>
      <c r="F4722" s="6" t="s">
        <v>12225</v>
      </c>
      <c r="G4722" s="6" t="s">
        <v>16</v>
      </c>
      <c r="H4722" s="5">
        <v>1</v>
      </c>
      <c r="I4722" s="6" t="s">
        <v>12225</v>
      </c>
      <c r="J4722" s="5">
        <v>238</v>
      </c>
    </row>
    <row r="4723" s="2" customFormat="1" spans="1:10">
      <c r="A4723" s="6">
        <f>4721</f>
        <v>4721</v>
      </c>
      <c r="B4723" s="6" t="s">
        <v>12226</v>
      </c>
      <c r="C4723" s="6" t="s">
        <v>12</v>
      </c>
      <c r="D4723" s="6" t="s">
        <v>11447</v>
      </c>
      <c r="E4723" s="6" t="s">
        <v>12185</v>
      </c>
      <c r="F4723" s="6" t="s">
        <v>12227</v>
      </c>
      <c r="G4723" s="6" t="s">
        <v>16</v>
      </c>
      <c r="H4723" s="5">
        <v>1</v>
      </c>
      <c r="I4723" s="6" t="s">
        <v>12227</v>
      </c>
      <c r="J4723" s="5">
        <v>340</v>
      </c>
    </row>
    <row r="4724" s="2" customFormat="1" spans="1:10">
      <c r="A4724" s="6">
        <f>4722</f>
        <v>4722</v>
      </c>
      <c r="B4724" s="6" t="s">
        <v>12228</v>
      </c>
      <c r="C4724" s="6" t="s">
        <v>12</v>
      </c>
      <c r="D4724" s="6" t="s">
        <v>11447</v>
      </c>
      <c r="E4724" s="6" t="s">
        <v>12185</v>
      </c>
      <c r="F4724" s="6" t="s">
        <v>12229</v>
      </c>
      <c r="G4724" s="6" t="s">
        <v>16</v>
      </c>
      <c r="H4724" s="5">
        <v>2</v>
      </c>
      <c r="I4724" s="6" t="s">
        <v>12230</v>
      </c>
      <c r="J4724" s="5">
        <v>730</v>
      </c>
    </row>
    <row r="4725" s="2" customFormat="1" spans="1:10">
      <c r="A4725" s="6">
        <f>4723</f>
        <v>4723</v>
      </c>
      <c r="B4725" s="6" t="s">
        <v>12231</v>
      </c>
      <c r="C4725" s="6" t="s">
        <v>12</v>
      </c>
      <c r="D4725" s="6" t="s">
        <v>11447</v>
      </c>
      <c r="E4725" s="6" t="s">
        <v>12185</v>
      </c>
      <c r="F4725" s="6" t="s">
        <v>12232</v>
      </c>
      <c r="G4725" s="6" t="s">
        <v>16</v>
      </c>
      <c r="H4725" s="5">
        <v>2</v>
      </c>
      <c r="I4725" s="6" t="s">
        <v>12233</v>
      </c>
      <c r="J4725" s="5">
        <v>439</v>
      </c>
    </row>
    <row r="4726" s="2" customFormat="1" spans="1:10">
      <c r="A4726" s="6">
        <f>4724</f>
        <v>4724</v>
      </c>
      <c r="B4726" s="6" t="s">
        <v>12234</v>
      </c>
      <c r="C4726" s="6" t="s">
        <v>12</v>
      </c>
      <c r="D4726" s="6" t="s">
        <v>11447</v>
      </c>
      <c r="E4726" s="6" t="s">
        <v>12185</v>
      </c>
      <c r="F4726" s="6" t="s">
        <v>12235</v>
      </c>
      <c r="G4726" s="6" t="s">
        <v>16</v>
      </c>
      <c r="H4726" s="5">
        <v>1</v>
      </c>
      <c r="I4726" s="6" t="s">
        <v>12235</v>
      </c>
      <c r="J4726" s="5">
        <v>198</v>
      </c>
    </row>
    <row r="4727" s="2" customFormat="1" spans="1:10">
      <c r="A4727" s="6">
        <f>4725</f>
        <v>4725</v>
      </c>
      <c r="B4727" s="6" t="s">
        <v>12236</v>
      </c>
      <c r="C4727" s="6" t="s">
        <v>12</v>
      </c>
      <c r="D4727" s="6" t="s">
        <v>11447</v>
      </c>
      <c r="E4727" s="6" t="s">
        <v>12185</v>
      </c>
      <c r="F4727" s="6" t="s">
        <v>12237</v>
      </c>
      <c r="G4727" s="6" t="s">
        <v>16</v>
      </c>
      <c r="H4727" s="5">
        <v>1</v>
      </c>
      <c r="I4727" s="6" t="s">
        <v>12237</v>
      </c>
      <c r="J4727" s="5">
        <v>233</v>
      </c>
    </row>
    <row r="4728" s="2" customFormat="1" spans="1:10">
      <c r="A4728" s="6">
        <f>4726</f>
        <v>4726</v>
      </c>
      <c r="B4728" s="6" t="s">
        <v>12238</v>
      </c>
      <c r="C4728" s="6" t="s">
        <v>12</v>
      </c>
      <c r="D4728" s="6" t="s">
        <v>11447</v>
      </c>
      <c r="E4728" s="6" t="s">
        <v>12185</v>
      </c>
      <c r="F4728" s="6" t="s">
        <v>12239</v>
      </c>
      <c r="G4728" s="6" t="s">
        <v>16</v>
      </c>
      <c r="H4728" s="5">
        <v>1</v>
      </c>
      <c r="I4728" s="6" t="s">
        <v>12239</v>
      </c>
      <c r="J4728" s="5">
        <v>318</v>
      </c>
    </row>
    <row r="4729" s="2" customFormat="1" spans="1:10">
      <c r="A4729" s="6">
        <f>4727</f>
        <v>4727</v>
      </c>
      <c r="B4729" s="6" t="s">
        <v>12240</v>
      </c>
      <c r="C4729" s="6" t="s">
        <v>12</v>
      </c>
      <c r="D4729" s="6" t="s">
        <v>11447</v>
      </c>
      <c r="E4729" s="6" t="s">
        <v>12185</v>
      </c>
      <c r="F4729" s="6" t="s">
        <v>12241</v>
      </c>
      <c r="G4729" s="6" t="s">
        <v>16</v>
      </c>
      <c r="H4729" s="5">
        <v>1</v>
      </c>
      <c r="I4729" s="6" t="s">
        <v>12241</v>
      </c>
      <c r="J4729" s="5">
        <v>248</v>
      </c>
    </row>
    <row r="4730" s="2" customFormat="1" spans="1:10">
      <c r="A4730" s="6">
        <f>4728</f>
        <v>4728</v>
      </c>
      <c r="B4730" s="6" t="s">
        <v>12242</v>
      </c>
      <c r="C4730" s="6" t="s">
        <v>12</v>
      </c>
      <c r="D4730" s="6" t="s">
        <v>11447</v>
      </c>
      <c r="E4730" s="6" t="s">
        <v>12185</v>
      </c>
      <c r="F4730" s="6" t="s">
        <v>12243</v>
      </c>
      <c r="G4730" s="6" t="s">
        <v>16</v>
      </c>
      <c r="H4730" s="5">
        <v>3</v>
      </c>
      <c r="I4730" s="6" t="s">
        <v>12244</v>
      </c>
      <c r="J4730" s="5">
        <v>1110</v>
      </c>
    </row>
    <row r="4731" s="2" customFormat="1" spans="1:10">
      <c r="A4731" s="6">
        <f>4729</f>
        <v>4729</v>
      </c>
      <c r="B4731" s="6" t="s">
        <v>12245</v>
      </c>
      <c r="C4731" s="6" t="s">
        <v>12</v>
      </c>
      <c r="D4731" s="6" t="s">
        <v>11447</v>
      </c>
      <c r="E4731" s="6" t="s">
        <v>12185</v>
      </c>
      <c r="F4731" s="6" t="s">
        <v>12246</v>
      </c>
      <c r="G4731" s="6" t="s">
        <v>16</v>
      </c>
      <c r="H4731" s="5">
        <v>1</v>
      </c>
      <c r="I4731" s="6" t="s">
        <v>12246</v>
      </c>
      <c r="J4731" s="5">
        <v>255</v>
      </c>
    </row>
    <row r="4732" s="2" customFormat="1" spans="1:10">
      <c r="A4732" s="6">
        <f>4730</f>
        <v>4730</v>
      </c>
      <c r="B4732" s="6" t="s">
        <v>12247</v>
      </c>
      <c r="C4732" s="6" t="s">
        <v>12</v>
      </c>
      <c r="D4732" s="6" t="s">
        <v>11447</v>
      </c>
      <c r="E4732" s="6" t="s">
        <v>12185</v>
      </c>
      <c r="F4732" s="6" t="s">
        <v>12248</v>
      </c>
      <c r="G4732" s="6" t="s">
        <v>16</v>
      </c>
      <c r="H4732" s="5">
        <v>1</v>
      </c>
      <c r="I4732" s="6" t="s">
        <v>12248</v>
      </c>
      <c r="J4732" s="5">
        <v>355</v>
      </c>
    </row>
    <row r="4733" s="2" customFormat="1" spans="1:10">
      <c r="A4733" s="6">
        <f>4731</f>
        <v>4731</v>
      </c>
      <c r="B4733" s="6" t="s">
        <v>12249</v>
      </c>
      <c r="C4733" s="6" t="s">
        <v>12</v>
      </c>
      <c r="D4733" s="6" t="s">
        <v>11447</v>
      </c>
      <c r="E4733" s="6" t="s">
        <v>12185</v>
      </c>
      <c r="F4733" s="6" t="s">
        <v>12250</v>
      </c>
      <c r="G4733" s="6" t="s">
        <v>16</v>
      </c>
      <c r="H4733" s="5">
        <v>1</v>
      </c>
      <c r="I4733" s="6" t="s">
        <v>12250</v>
      </c>
      <c r="J4733" s="5">
        <v>228</v>
      </c>
    </row>
    <row r="4734" s="2" customFormat="1" spans="1:10">
      <c r="A4734" s="6">
        <f>4732</f>
        <v>4732</v>
      </c>
      <c r="B4734" s="6" t="s">
        <v>12251</v>
      </c>
      <c r="C4734" s="6" t="s">
        <v>12</v>
      </c>
      <c r="D4734" s="6" t="s">
        <v>11447</v>
      </c>
      <c r="E4734" s="6" t="s">
        <v>12185</v>
      </c>
      <c r="F4734" s="6" t="s">
        <v>2055</v>
      </c>
      <c r="G4734" s="6" t="s">
        <v>16</v>
      </c>
      <c r="H4734" s="5">
        <v>1</v>
      </c>
      <c r="I4734" s="6" t="s">
        <v>2055</v>
      </c>
      <c r="J4734" s="5">
        <v>238</v>
      </c>
    </row>
    <row r="4735" s="2" customFormat="1" spans="1:10">
      <c r="A4735" s="6">
        <f>4733</f>
        <v>4733</v>
      </c>
      <c r="B4735" s="6" t="s">
        <v>12252</v>
      </c>
      <c r="C4735" s="6" t="s">
        <v>12</v>
      </c>
      <c r="D4735" s="6" t="s">
        <v>11447</v>
      </c>
      <c r="E4735" s="6" t="s">
        <v>12185</v>
      </c>
      <c r="F4735" s="6" t="s">
        <v>12253</v>
      </c>
      <c r="G4735" s="6" t="s">
        <v>16</v>
      </c>
      <c r="H4735" s="5">
        <v>1</v>
      </c>
      <c r="I4735" s="6" t="s">
        <v>12253</v>
      </c>
      <c r="J4735" s="5">
        <v>260</v>
      </c>
    </row>
    <row r="4736" s="2" customFormat="1" ht="27" spans="1:10">
      <c r="A4736" s="6">
        <f>4734</f>
        <v>4734</v>
      </c>
      <c r="B4736" s="6" t="s">
        <v>12254</v>
      </c>
      <c r="C4736" s="6" t="s">
        <v>12</v>
      </c>
      <c r="D4736" s="6" t="s">
        <v>11447</v>
      </c>
      <c r="E4736" s="6" t="s">
        <v>12185</v>
      </c>
      <c r="F4736" s="6" t="s">
        <v>12255</v>
      </c>
      <c r="G4736" s="6" t="s">
        <v>16</v>
      </c>
      <c r="H4736" s="5">
        <v>6</v>
      </c>
      <c r="I4736" s="6" t="s">
        <v>12256</v>
      </c>
      <c r="J4736" s="5">
        <v>1500</v>
      </c>
    </row>
    <row r="4737" s="2" customFormat="1" spans="1:10">
      <c r="A4737" s="6">
        <f>4735</f>
        <v>4735</v>
      </c>
      <c r="B4737" s="6" t="s">
        <v>12257</v>
      </c>
      <c r="C4737" s="6" t="s">
        <v>12</v>
      </c>
      <c r="D4737" s="6" t="s">
        <v>11447</v>
      </c>
      <c r="E4737" s="6" t="s">
        <v>12185</v>
      </c>
      <c r="F4737" s="6" t="s">
        <v>12258</v>
      </c>
      <c r="G4737" s="6" t="s">
        <v>16</v>
      </c>
      <c r="H4737" s="5">
        <v>1</v>
      </c>
      <c r="I4737" s="6" t="s">
        <v>12258</v>
      </c>
      <c r="J4737" s="5">
        <v>198</v>
      </c>
    </row>
    <row r="4738" s="2" customFormat="1" spans="1:10">
      <c r="A4738" s="6">
        <f>4736</f>
        <v>4736</v>
      </c>
      <c r="B4738" s="6" t="s">
        <v>12259</v>
      </c>
      <c r="C4738" s="6" t="s">
        <v>12</v>
      </c>
      <c r="D4738" s="6" t="s">
        <v>11447</v>
      </c>
      <c r="E4738" s="6" t="s">
        <v>12185</v>
      </c>
      <c r="F4738" s="6" t="s">
        <v>12260</v>
      </c>
      <c r="G4738" s="6" t="s">
        <v>16</v>
      </c>
      <c r="H4738" s="5">
        <v>1</v>
      </c>
      <c r="I4738" s="6" t="s">
        <v>12260</v>
      </c>
      <c r="J4738" s="5">
        <v>420</v>
      </c>
    </row>
    <row r="4739" s="2" customFormat="1" spans="1:10">
      <c r="A4739" s="6">
        <f>4737</f>
        <v>4737</v>
      </c>
      <c r="B4739" s="6" t="s">
        <v>12261</v>
      </c>
      <c r="C4739" s="6" t="s">
        <v>12</v>
      </c>
      <c r="D4739" s="6" t="s">
        <v>11447</v>
      </c>
      <c r="E4739" s="6" t="s">
        <v>12185</v>
      </c>
      <c r="F4739" s="6" t="s">
        <v>12262</v>
      </c>
      <c r="G4739" s="6" t="s">
        <v>16</v>
      </c>
      <c r="H4739" s="5">
        <v>1</v>
      </c>
      <c r="I4739" s="6" t="s">
        <v>12262</v>
      </c>
      <c r="J4739" s="5">
        <v>238</v>
      </c>
    </row>
    <row r="4740" s="2" customFormat="1" ht="27" spans="1:10">
      <c r="A4740" s="6">
        <f>4738</f>
        <v>4738</v>
      </c>
      <c r="B4740" s="6" t="s">
        <v>12263</v>
      </c>
      <c r="C4740" s="6" t="s">
        <v>12</v>
      </c>
      <c r="D4740" s="6" t="s">
        <v>11447</v>
      </c>
      <c r="E4740" s="6" t="s">
        <v>12185</v>
      </c>
      <c r="F4740" s="6" t="s">
        <v>12264</v>
      </c>
      <c r="G4740" s="6" t="s">
        <v>16</v>
      </c>
      <c r="H4740" s="5">
        <v>4</v>
      </c>
      <c r="I4740" s="6" t="s">
        <v>12265</v>
      </c>
      <c r="J4740" s="5">
        <v>438</v>
      </c>
    </row>
    <row r="4741" s="2" customFormat="1" spans="1:10">
      <c r="A4741" s="6">
        <f>4739</f>
        <v>4739</v>
      </c>
      <c r="B4741" s="6" t="s">
        <v>12266</v>
      </c>
      <c r="C4741" s="6" t="s">
        <v>12</v>
      </c>
      <c r="D4741" s="6" t="s">
        <v>11447</v>
      </c>
      <c r="E4741" s="6" t="s">
        <v>12185</v>
      </c>
      <c r="F4741" s="6" t="s">
        <v>12267</v>
      </c>
      <c r="G4741" s="6" t="s">
        <v>16</v>
      </c>
      <c r="H4741" s="5">
        <v>2</v>
      </c>
      <c r="I4741" s="6" t="s">
        <v>12268</v>
      </c>
      <c r="J4741" s="5">
        <v>440</v>
      </c>
    </row>
    <row r="4742" s="2" customFormat="1" spans="1:10">
      <c r="A4742" s="6">
        <f>4740</f>
        <v>4740</v>
      </c>
      <c r="B4742" s="6" t="s">
        <v>12269</v>
      </c>
      <c r="C4742" s="6" t="s">
        <v>12</v>
      </c>
      <c r="D4742" s="6" t="s">
        <v>11447</v>
      </c>
      <c r="E4742" s="6" t="s">
        <v>12185</v>
      </c>
      <c r="F4742" s="6" t="s">
        <v>12270</v>
      </c>
      <c r="G4742" s="6" t="s">
        <v>16</v>
      </c>
      <c r="H4742" s="5">
        <v>1</v>
      </c>
      <c r="I4742" s="6" t="s">
        <v>12270</v>
      </c>
      <c r="J4742" s="5">
        <v>255</v>
      </c>
    </row>
    <row r="4743" s="2" customFormat="1" spans="1:10">
      <c r="A4743" s="6">
        <f>4741</f>
        <v>4741</v>
      </c>
      <c r="B4743" s="6" t="s">
        <v>12271</v>
      </c>
      <c r="C4743" s="6" t="s">
        <v>12</v>
      </c>
      <c r="D4743" s="6" t="s">
        <v>11447</v>
      </c>
      <c r="E4743" s="6" t="s">
        <v>12185</v>
      </c>
      <c r="F4743" s="6" t="s">
        <v>12272</v>
      </c>
      <c r="G4743" s="6" t="s">
        <v>16</v>
      </c>
      <c r="H4743" s="5">
        <v>1</v>
      </c>
      <c r="I4743" s="6" t="s">
        <v>12272</v>
      </c>
      <c r="J4743" s="5">
        <v>238</v>
      </c>
    </row>
    <row r="4744" s="2" customFormat="1" spans="1:10">
      <c r="A4744" s="6">
        <f>4742</f>
        <v>4742</v>
      </c>
      <c r="B4744" s="6" t="s">
        <v>12273</v>
      </c>
      <c r="C4744" s="6" t="s">
        <v>12</v>
      </c>
      <c r="D4744" s="6" t="s">
        <v>11447</v>
      </c>
      <c r="E4744" s="6" t="s">
        <v>12185</v>
      </c>
      <c r="F4744" s="6" t="s">
        <v>12274</v>
      </c>
      <c r="G4744" s="6" t="s">
        <v>16</v>
      </c>
      <c r="H4744" s="5">
        <v>3</v>
      </c>
      <c r="I4744" s="6" t="s">
        <v>12275</v>
      </c>
      <c r="J4744" s="5">
        <v>1794</v>
      </c>
    </row>
    <row r="4745" s="2" customFormat="1" spans="1:10">
      <c r="A4745" s="6">
        <f>4743</f>
        <v>4743</v>
      </c>
      <c r="B4745" s="6" t="s">
        <v>12276</v>
      </c>
      <c r="C4745" s="6" t="s">
        <v>12</v>
      </c>
      <c r="D4745" s="6" t="s">
        <v>11447</v>
      </c>
      <c r="E4745" s="6" t="s">
        <v>12185</v>
      </c>
      <c r="F4745" s="6" t="s">
        <v>12277</v>
      </c>
      <c r="G4745" s="6" t="s">
        <v>16</v>
      </c>
      <c r="H4745" s="5">
        <v>3</v>
      </c>
      <c r="I4745" s="6" t="s">
        <v>12278</v>
      </c>
      <c r="J4745" s="5">
        <v>781</v>
      </c>
    </row>
    <row r="4746" s="2" customFormat="1" spans="1:10">
      <c r="A4746" s="6">
        <f>4744</f>
        <v>4744</v>
      </c>
      <c r="B4746" s="6" t="s">
        <v>12279</v>
      </c>
      <c r="C4746" s="6" t="s">
        <v>12</v>
      </c>
      <c r="D4746" s="6" t="s">
        <v>11447</v>
      </c>
      <c r="E4746" s="6" t="s">
        <v>12185</v>
      </c>
      <c r="F4746" s="6" t="s">
        <v>12280</v>
      </c>
      <c r="G4746" s="6" t="s">
        <v>16</v>
      </c>
      <c r="H4746" s="5">
        <v>1</v>
      </c>
      <c r="I4746" s="6" t="s">
        <v>12280</v>
      </c>
      <c r="J4746" s="5">
        <v>270</v>
      </c>
    </row>
    <row r="4747" s="2" customFormat="1" spans="1:10">
      <c r="A4747" s="6">
        <f>4745</f>
        <v>4745</v>
      </c>
      <c r="B4747" s="6" t="s">
        <v>12281</v>
      </c>
      <c r="C4747" s="6" t="s">
        <v>12</v>
      </c>
      <c r="D4747" s="6" t="s">
        <v>11447</v>
      </c>
      <c r="E4747" s="6" t="s">
        <v>12185</v>
      </c>
      <c r="F4747" s="6" t="s">
        <v>12282</v>
      </c>
      <c r="G4747" s="6" t="s">
        <v>16</v>
      </c>
      <c r="H4747" s="5">
        <v>1</v>
      </c>
      <c r="I4747" s="6" t="s">
        <v>12282</v>
      </c>
      <c r="J4747" s="5">
        <v>238</v>
      </c>
    </row>
    <row r="4748" s="2" customFormat="1" spans="1:10">
      <c r="A4748" s="6">
        <f>4746</f>
        <v>4746</v>
      </c>
      <c r="B4748" s="6" t="s">
        <v>12283</v>
      </c>
      <c r="C4748" s="6" t="s">
        <v>12</v>
      </c>
      <c r="D4748" s="6" t="s">
        <v>11447</v>
      </c>
      <c r="E4748" s="6" t="s">
        <v>12185</v>
      </c>
      <c r="F4748" s="6" t="s">
        <v>12284</v>
      </c>
      <c r="G4748" s="6" t="s">
        <v>16</v>
      </c>
      <c r="H4748" s="5">
        <v>1</v>
      </c>
      <c r="I4748" s="6" t="s">
        <v>12284</v>
      </c>
      <c r="J4748" s="5">
        <v>238</v>
      </c>
    </row>
    <row r="4749" s="2" customFormat="1" spans="1:10">
      <c r="A4749" s="6">
        <f>4747</f>
        <v>4747</v>
      </c>
      <c r="B4749" s="6" t="s">
        <v>12285</v>
      </c>
      <c r="C4749" s="6" t="s">
        <v>12</v>
      </c>
      <c r="D4749" s="6" t="s">
        <v>11447</v>
      </c>
      <c r="E4749" s="6" t="s">
        <v>12185</v>
      </c>
      <c r="F4749" s="6" t="s">
        <v>12286</v>
      </c>
      <c r="G4749" s="6" t="s">
        <v>16</v>
      </c>
      <c r="H4749" s="5">
        <v>3</v>
      </c>
      <c r="I4749" s="6" t="s">
        <v>12287</v>
      </c>
      <c r="J4749" s="5">
        <v>1440</v>
      </c>
    </row>
    <row r="4750" s="2" customFormat="1" spans="1:10">
      <c r="A4750" s="6">
        <f>4748</f>
        <v>4748</v>
      </c>
      <c r="B4750" s="6" t="s">
        <v>12288</v>
      </c>
      <c r="C4750" s="6" t="s">
        <v>12</v>
      </c>
      <c r="D4750" s="6" t="s">
        <v>11447</v>
      </c>
      <c r="E4750" s="6" t="s">
        <v>12185</v>
      </c>
      <c r="F4750" s="6" t="s">
        <v>12289</v>
      </c>
      <c r="G4750" s="6" t="s">
        <v>16</v>
      </c>
      <c r="H4750" s="5">
        <v>1</v>
      </c>
      <c r="I4750" s="6" t="s">
        <v>12289</v>
      </c>
      <c r="J4750" s="5">
        <v>238</v>
      </c>
    </row>
    <row r="4751" s="2" customFormat="1" spans="1:10">
      <c r="A4751" s="6">
        <f>4749</f>
        <v>4749</v>
      </c>
      <c r="B4751" s="6" t="s">
        <v>12290</v>
      </c>
      <c r="C4751" s="6" t="s">
        <v>12</v>
      </c>
      <c r="D4751" s="6" t="s">
        <v>11447</v>
      </c>
      <c r="E4751" s="6" t="s">
        <v>12185</v>
      </c>
      <c r="F4751" s="6" t="s">
        <v>12291</v>
      </c>
      <c r="G4751" s="6" t="s">
        <v>16</v>
      </c>
      <c r="H4751" s="5">
        <v>1</v>
      </c>
      <c r="I4751" s="6" t="s">
        <v>12291</v>
      </c>
      <c r="J4751" s="5">
        <v>340</v>
      </c>
    </row>
    <row r="4752" s="2" customFormat="1" spans="1:10">
      <c r="A4752" s="6">
        <f>4750</f>
        <v>4750</v>
      </c>
      <c r="B4752" s="6" t="s">
        <v>12292</v>
      </c>
      <c r="C4752" s="6" t="s">
        <v>12</v>
      </c>
      <c r="D4752" s="6" t="s">
        <v>11447</v>
      </c>
      <c r="E4752" s="6" t="s">
        <v>12185</v>
      </c>
      <c r="F4752" s="6" t="s">
        <v>11077</v>
      </c>
      <c r="G4752" s="6" t="s">
        <v>16</v>
      </c>
      <c r="H4752" s="5">
        <v>1</v>
      </c>
      <c r="I4752" s="6" t="s">
        <v>11077</v>
      </c>
      <c r="J4752" s="5">
        <v>238</v>
      </c>
    </row>
    <row r="4753" s="2" customFormat="1" spans="1:10">
      <c r="A4753" s="6">
        <f>4751</f>
        <v>4751</v>
      </c>
      <c r="B4753" s="6" t="s">
        <v>12293</v>
      </c>
      <c r="C4753" s="6" t="s">
        <v>12</v>
      </c>
      <c r="D4753" s="6" t="s">
        <v>11447</v>
      </c>
      <c r="E4753" s="6" t="s">
        <v>12185</v>
      </c>
      <c r="F4753" s="6" t="s">
        <v>12294</v>
      </c>
      <c r="G4753" s="6" t="s">
        <v>16</v>
      </c>
      <c r="H4753" s="5">
        <v>1</v>
      </c>
      <c r="I4753" s="6" t="s">
        <v>12294</v>
      </c>
      <c r="J4753" s="5">
        <v>287</v>
      </c>
    </row>
    <row r="4754" s="2" customFormat="1" spans="1:10">
      <c r="A4754" s="6">
        <f>4752</f>
        <v>4752</v>
      </c>
      <c r="B4754" s="6" t="s">
        <v>12295</v>
      </c>
      <c r="C4754" s="6" t="s">
        <v>12</v>
      </c>
      <c r="D4754" s="6" t="s">
        <v>11447</v>
      </c>
      <c r="E4754" s="6" t="s">
        <v>12185</v>
      </c>
      <c r="F4754" s="6" t="s">
        <v>12296</v>
      </c>
      <c r="G4754" s="6" t="s">
        <v>16</v>
      </c>
      <c r="H4754" s="5">
        <v>3</v>
      </c>
      <c r="I4754" s="6" t="s">
        <v>12297</v>
      </c>
      <c r="J4754" s="5">
        <v>601</v>
      </c>
    </row>
    <row r="4755" s="2" customFormat="1" spans="1:10">
      <c r="A4755" s="6">
        <f>4753</f>
        <v>4753</v>
      </c>
      <c r="B4755" s="6" t="s">
        <v>12298</v>
      </c>
      <c r="C4755" s="6" t="s">
        <v>12</v>
      </c>
      <c r="D4755" s="6" t="s">
        <v>11447</v>
      </c>
      <c r="E4755" s="6" t="s">
        <v>12185</v>
      </c>
      <c r="F4755" s="6" t="s">
        <v>12299</v>
      </c>
      <c r="G4755" s="6" t="s">
        <v>16</v>
      </c>
      <c r="H4755" s="5">
        <v>1</v>
      </c>
      <c r="I4755" s="6" t="s">
        <v>12299</v>
      </c>
      <c r="J4755" s="5">
        <v>203</v>
      </c>
    </row>
    <row r="4756" s="2" customFormat="1" spans="1:10">
      <c r="A4756" s="6">
        <f>4754</f>
        <v>4754</v>
      </c>
      <c r="B4756" s="6" t="s">
        <v>12300</v>
      </c>
      <c r="C4756" s="6" t="s">
        <v>12</v>
      </c>
      <c r="D4756" s="6" t="s">
        <v>11447</v>
      </c>
      <c r="E4756" s="6" t="s">
        <v>12185</v>
      </c>
      <c r="F4756" s="6" t="s">
        <v>12301</v>
      </c>
      <c r="G4756" s="6" t="s">
        <v>16</v>
      </c>
      <c r="H4756" s="5">
        <v>1</v>
      </c>
      <c r="I4756" s="6" t="s">
        <v>12301</v>
      </c>
      <c r="J4756" s="5">
        <v>198</v>
      </c>
    </row>
    <row r="4757" s="2" customFormat="1" spans="1:10">
      <c r="A4757" s="6">
        <f>4755</f>
        <v>4755</v>
      </c>
      <c r="B4757" s="6" t="s">
        <v>12302</v>
      </c>
      <c r="C4757" s="6" t="s">
        <v>12</v>
      </c>
      <c r="D4757" s="6" t="s">
        <v>11447</v>
      </c>
      <c r="E4757" s="6" t="s">
        <v>12185</v>
      </c>
      <c r="F4757" s="6" t="s">
        <v>9545</v>
      </c>
      <c r="G4757" s="6" t="s">
        <v>16</v>
      </c>
      <c r="H4757" s="5">
        <v>1</v>
      </c>
      <c r="I4757" s="6" t="s">
        <v>9545</v>
      </c>
      <c r="J4757" s="5">
        <v>238</v>
      </c>
    </row>
    <row r="4758" s="2" customFormat="1" spans="1:10">
      <c r="A4758" s="6">
        <f>4756</f>
        <v>4756</v>
      </c>
      <c r="B4758" s="6" t="s">
        <v>12303</v>
      </c>
      <c r="C4758" s="6" t="s">
        <v>12</v>
      </c>
      <c r="D4758" s="6" t="s">
        <v>11447</v>
      </c>
      <c r="E4758" s="6" t="s">
        <v>12185</v>
      </c>
      <c r="F4758" s="6" t="s">
        <v>12304</v>
      </c>
      <c r="G4758" s="6" t="s">
        <v>16</v>
      </c>
      <c r="H4758" s="5">
        <v>2</v>
      </c>
      <c r="I4758" s="6" t="s">
        <v>12305</v>
      </c>
      <c r="J4758" s="5">
        <v>298</v>
      </c>
    </row>
    <row r="4759" s="2" customFormat="1" spans="1:10">
      <c r="A4759" s="6">
        <f>4757</f>
        <v>4757</v>
      </c>
      <c r="B4759" s="6" t="s">
        <v>12306</v>
      </c>
      <c r="C4759" s="6" t="s">
        <v>12</v>
      </c>
      <c r="D4759" s="6" t="s">
        <v>11447</v>
      </c>
      <c r="E4759" s="6" t="s">
        <v>12185</v>
      </c>
      <c r="F4759" s="6" t="s">
        <v>12307</v>
      </c>
      <c r="G4759" s="6" t="s">
        <v>16</v>
      </c>
      <c r="H4759" s="5">
        <v>1</v>
      </c>
      <c r="I4759" s="6" t="s">
        <v>12307</v>
      </c>
      <c r="J4759" s="5">
        <v>243</v>
      </c>
    </row>
    <row r="4760" s="2" customFormat="1" spans="1:10">
      <c r="A4760" s="6">
        <f>4758</f>
        <v>4758</v>
      </c>
      <c r="B4760" s="6" t="s">
        <v>12308</v>
      </c>
      <c r="C4760" s="6" t="s">
        <v>12</v>
      </c>
      <c r="D4760" s="6" t="s">
        <v>11447</v>
      </c>
      <c r="E4760" s="6" t="s">
        <v>12185</v>
      </c>
      <c r="F4760" s="6" t="s">
        <v>12309</v>
      </c>
      <c r="G4760" s="6" t="s">
        <v>16</v>
      </c>
      <c r="H4760" s="5">
        <v>1</v>
      </c>
      <c r="I4760" s="6" t="s">
        <v>12309</v>
      </c>
      <c r="J4760" s="5">
        <v>243</v>
      </c>
    </row>
    <row r="4761" s="2" customFormat="1" spans="1:10">
      <c r="A4761" s="6">
        <f>4759</f>
        <v>4759</v>
      </c>
      <c r="B4761" s="6" t="s">
        <v>12310</v>
      </c>
      <c r="C4761" s="6" t="s">
        <v>12</v>
      </c>
      <c r="D4761" s="6" t="s">
        <v>11447</v>
      </c>
      <c r="E4761" s="6" t="s">
        <v>12185</v>
      </c>
      <c r="F4761" s="6" t="s">
        <v>12311</v>
      </c>
      <c r="G4761" s="6" t="s">
        <v>16</v>
      </c>
      <c r="H4761" s="5">
        <v>1</v>
      </c>
      <c r="I4761" s="6" t="s">
        <v>12311</v>
      </c>
      <c r="J4761" s="5">
        <v>245</v>
      </c>
    </row>
    <row r="4762" s="2" customFormat="1" spans="1:10">
      <c r="A4762" s="6">
        <f>4760</f>
        <v>4760</v>
      </c>
      <c r="B4762" s="6" t="s">
        <v>12312</v>
      </c>
      <c r="C4762" s="6" t="s">
        <v>12</v>
      </c>
      <c r="D4762" s="6" t="s">
        <v>11447</v>
      </c>
      <c r="E4762" s="6" t="s">
        <v>12185</v>
      </c>
      <c r="F4762" s="6" t="s">
        <v>12313</v>
      </c>
      <c r="G4762" s="6" t="s">
        <v>16</v>
      </c>
      <c r="H4762" s="5">
        <v>2</v>
      </c>
      <c r="I4762" s="6" t="s">
        <v>12314</v>
      </c>
      <c r="J4762" s="5">
        <v>476</v>
      </c>
    </row>
    <row r="4763" s="2" customFormat="1" spans="1:10">
      <c r="A4763" s="6">
        <f>4761</f>
        <v>4761</v>
      </c>
      <c r="B4763" s="6" t="s">
        <v>12315</v>
      </c>
      <c r="C4763" s="6" t="s">
        <v>12</v>
      </c>
      <c r="D4763" s="6" t="s">
        <v>11447</v>
      </c>
      <c r="E4763" s="6" t="s">
        <v>12185</v>
      </c>
      <c r="F4763" s="6" t="s">
        <v>12316</v>
      </c>
      <c r="G4763" s="6" t="s">
        <v>16</v>
      </c>
      <c r="H4763" s="5">
        <v>1</v>
      </c>
      <c r="I4763" s="6" t="s">
        <v>12316</v>
      </c>
      <c r="J4763" s="5">
        <v>480</v>
      </c>
    </row>
    <row r="4764" s="2" customFormat="1" spans="1:10">
      <c r="A4764" s="6">
        <f>4762</f>
        <v>4762</v>
      </c>
      <c r="B4764" s="6" t="s">
        <v>12317</v>
      </c>
      <c r="C4764" s="6" t="s">
        <v>12</v>
      </c>
      <c r="D4764" s="6" t="s">
        <v>11447</v>
      </c>
      <c r="E4764" s="6" t="s">
        <v>12185</v>
      </c>
      <c r="F4764" s="6" t="s">
        <v>12318</v>
      </c>
      <c r="G4764" s="6" t="s">
        <v>16</v>
      </c>
      <c r="H4764" s="5">
        <v>1</v>
      </c>
      <c r="I4764" s="6" t="s">
        <v>12318</v>
      </c>
      <c r="J4764" s="5">
        <v>265</v>
      </c>
    </row>
    <row r="4765" s="2" customFormat="1" spans="1:10">
      <c r="A4765" s="6">
        <f>4763</f>
        <v>4763</v>
      </c>
      <c r="B4765" s="6" t="s">
        <v>12319</v>
      </c>
      <c r="C4765" s="6" t="s">
        <v>12</v>
      </c>
      <c r="D4765" s="6" t="s">
        <v>11447</v>
      </c>
      <c r="E4765" s="6" t="s">
        <v>12185</v>
      </c>
      <c r="F4765" s="6" t="s">
        <v>12320</v>
      </c>
      <c r="G4765" s="6" t="s">
        <v>16</v>
      </c>
      <c r="H4765" s="5">
        <v>1</v>
      </c>
      <c r="I4765" s="6" t="s">
        <v>12320</v>
      </c>
      <c r="J4765" s="5">
        <v>265</v>
      </c>
    </row>
    <row r="4766" s="2" customFormat="1" spans="1:10">
      <c r="A4766" s="6">
        <f>4764</f>
        <v>4764</v>
      </c>
      <c r="B4766" s="6" t="s">
        <v>12321</v>
      </c>
      <c r="C4766" s="6" t="s">
        <v>12</v>
      </c>
      <c r="D4766" s="6" t="s">
        <v>11447</v>
      </c>
      <c r="E4766" s="6" t="s">
        <v>12185</v>
      </c>
      <c r="F4766" s="6" t="s">
        <v>12322</v>
      </c>
      <c r="G4766" s="6" t="s">
        <v>16</v>
      </c>
      <c r="H4766" s="5">
        <v>2</v>
      </c>
      <c r="I4766" s="6" t="s">
        <v>12323</v>
      </c>
      <c r="J4766" s="5">
        <v>502</v>
      </c>
    </row>
    <row r="4767" s="2" customFormat="1" spans="1:10">
      <c r="A4767" s="6">
        <f>4765</f>
        <v>4765</v>
      </c>
      <c r="B4767" s="6" t="s">
        <v>12324</v>
      </c>
      <c r="C4767" s="6" t="s">
        <v>12</v>
      </c>
      <c r="D4767" s="6" t="s">
        <v>11447</v>
      </c>
      <c r="E4767" s="6" t="s">
        <v>12185</v>
      </c>
      <c r="F4767" s="6" t="s">
        <v>12325</v>
      </c>
      <c r="G4767" s="6" t="s">
        <v>16</v>
      </c>
      <c r="H4767" s="5">
        <v>1</v>
      </c>
      <c r="I4767" s="6" t="s">
        <v>12325</v>
      </c>
      <c r="J4767" s="5">
        <v>243</v>
      </c>
    </row>
    <row r="4768" s="2" customFormat="1" spans="1:10">
      <c r="A4768" s="6">
        <f>4766</f>
        <v>4766</v>
      </c>
      <c r="B4768" s="6" t="s">
        <v>12326</v>
      </c>
      <c r="C4768" s="6" t="s">
        <v>12</v>
      </c>
      <c r="D4768" s="6" t="s">
        <v>11447</v>
      </c>
      <c r="E4768" s="6" t="s">
        <v>12185</v>
      </c>
      <c r="F4768" s="6" t="s">
        <v>12327</v>
      </c>
      <c r="G4768" s="6" t="s">
        <v>16</v>
      </c>
      <c r="H4768" s="5">
        <v>1</v>
      </c>
      <c r="I4768" s="6" t="s">
        <v>12327</v>
      </c>
      <c r="J4768" s="5">
        <v>245</v>
      </c>
    </row>
    <row r="4769" s="2" customFormat="1" spans="1:10">
      <c r="A4769" s="6">
        <f>4767</f>
        <v>4767</v>
      </c>
      <c r="B4769" s="6" t="s">
        <v>12328</v>
      </c>
      <c r="C4769" s="6" t="s">
        <v>12</v>
      </c>
      <c r="D4769" s="6" t="s">
        <v>11447</v>
      </c>
      <c r="E4769" s="6" t="s">
        <v>12185</v>
      </c>
      <c r="F4769" s="6" t="s">
        <v>12329</v>
      </c>
      <c r="G4769" s="6" t="s">
        <v>16</v>
      </c>
      <c r="H4769" s="5">
        <v>1</v>
      </c>
      <c r="I4769" s="6" t="s">
        <v>12329</v>
      </c>
      <c r="J4769" s="5">
        <v>245</v>
      </c>
    </row>
    <row r="4770" s="2" customFormat="1" spans="1:10">
      <c r="A4770" s="6">
        <f>4768</f>
        <v>4768</v>
      </c>
      <c r="B4770" s="6" t="s">
        <v>12330</v>
      </c>
      <c r="C4770" s="6" t="s">
        <v>12</v>
      </c>
      <c r="D4770" s="6" t="s">
        <v>11447</v>
      </c>
      <c r="E4770" s="6" t="s">
        <v>12185</v>
      </c>
      <c r="F4770" s="6" t="s">
        <v>12331</v>
      </c>
      <c r="G4770" s="6" t="s">
        <v>16</v>
      </c>
      <c r="H4770" s="5">
        <v>1</v>
      </c>
      <c r="I4770" s="6" t="s">
        <v>12331</v>
      </c>
      <c r="J4770" s="5">
        <v>245</v>
      </c>
    </row>
    <row r="4771" s="2" customFormat="1" ht="27" spans="1:10">
      <c r="A4771" s="6">
        <f>4769</f>
        <v>4769</v>
      </c>
      <c r="B4771" s="6" t="s">
        <v>12332</v>
      </c>
      <c r="C4771" s="6" t="s">
        <v>12</v>
      </c>
      <c r="D4771" s="6" t="s">
        <v>11447</v>
      </c>
      <c r="E4771" s="6" t="s">
        <v>12185</v>
      </c>
      <c r="F4771" s="6" t="s">
        <v>12333</v>
      </c>
      <c r="G4771" s="6" t="s">
        <v>16</v>
      </c>
      <c r="H4771" s="5">
        <v>4</v>
      </c>
      <c r="I4771" s="6" t="s">
        <v>12334</v>
      </c>
      <c r="J4771" s="5">
        <v>1820</v>
      </c>
    </row>
    <row r="4772" s="2" customFormat="1" ht="27" spans="1:10">
      <c r="A4772" s="6">
        <f>4770</f>
        <v>4770</v>
      </c>
      <c r="B4772" s="6" t="s">
        <v>12335</v>
      </c>
      <c r="C4772" s="6" t="s">
        <v>12</v>
      </c>
      <c r="D4772" s="6" t="s">
        <v>11447</v>
      </c>
      <c r="E4772" s="6" t="s">
        <v>12185</v>
      </c>
      <c r="F4772" s="6" t="s">
        <v>12336</v>
      </c>
      <c r="G4772" s="6" t="s">
        <v>16</v>
      </c>
      <c r="H4772" s="5">
        <v>4</v>
      </c>
      <c r="I4772" s="6" t="s">
        <v>12337</v>
      </c>
      <c r="J4772" s="5">
        <v>1200</v>
      </c>
    </row>
    <row r="4773" s="2" customFormat="1" spans="1:10">
      <c r="A4773" s="6">
        <f>4771</f>
        <v>4771</v>
      </c>
      <c r="B4773" s="6" t="s">
        <v>12338</v>
      </c>
      <c r="C4773" s="6" t="s">
        <v>12</v>
      </c>
      <c r="D4773" s="6" t="s">
        <v>11447</v>
      </c>
      <c r="E4773" s="6" t="s">
        <v>12339</v>
      </c>
      <c r="F4773" s="6" t="s">
        <v>12340</v>
      </c>
      <c r="G4773" s="6" t="s">
        <v>16</v>
      </c>
      <c r="H4773" s="5">
        <v>2</v>
      </c>
      <c r="I4773" s="6" t="s">
        <v>12341</v>
      </c>
      <c r="J4773" s="5">
        <v>1020</v>
      </c>
    </row>
    <row r="4774" s="2" customFormat="1" spans="1:10">
      <c r="A4774" s="6">
        <f>4772</f>
        <v>4772</v>
      </c>
      <c r="B4774" s="6" t="s">
        <v>12342</v>
      </c>
      <c r="C4774" s="6" t="s">
        <v>12</v>
      </c>
      <c r="D4774" s="6" t="s">
        <v>11447</v>
      </c>
      <c r="E4774" s="6" t="s">
        <v>12339</v>
      </c>
      <c r="F4774" s="6" t="s">
        <v>12343</v>
      </c>
      <c r="G4774" s="6" t="s">
        <v>16</v>
      </c>
      <c r="H4774" s="5">
        <v>1</v>
      </c>
      <c r="I4774" s="6" t="s">
        <v>12343</v>
      </c>
      <c r="J4774" s="5">
        <v>380</v>
      </c>
    </row>
    <row r="4775" s="2" customFormat="1" spans="1:10">
      <c r="A4775" s="6">
        <f>4773</f>
        <v>4773</v>
      </c>
      <c r="B4775" s="6" t="s">
        <v>12344</v>
      </c>
      <c r="C4775" s="6" t="s">
        <v>12</v>
      </c>
      <c r="D4775" s="6" t="s">
        <v>11447</v>
      </c>
      <c r="E4775" s="6" t="s">
        <v>12339</v>
      </c>
      <c r="F4775" s="6" t="s">
        <v>12345</v>
      </c>
      <c r="G4775" s="6" t="s">
        <v>16</v>
      </c>
      <c r="H4775" s="5">
        <v>1</v>
      </c>
      <c r="I4775" s="6" t="s">
        <v>12345</v>
      </c>
      <c r="J4775" s="5">
        <v>570</v>
      </c>
    </row>
    <row r="4776" s="2" customFormat="1" ht="27" spans="1:10">
      <c r="A4776" s="6">
        <f>4774</f>
        <v>4774</v>
      </c>
      <c r="B4776" s="6" t="s">
        <v>12346</v>
      </c>
      <c r="C4776" s="6" t="s">
        <v>12</v>
      </c>
      <c r="D4776" s="6" t="s">
        <v>11447</v>
      </c>
      <c r="E4776" s="6" t="s">
        <v>12339</v>
      </c>
      <c r="F4776" s="6" t="s">
        <v>12347</v>
      </c>
      <c r="G4776" s="6" t="s">
        <v>16</v>
      </c>
      <c r="H4776" s="5">
        <v>4</v>
      </c>
      <c r="I4776" s="6" t="s">
        <v>12348</v>
      </c>
      <c r="J4776" s="5">
        <v>980</v>
      </c>
    </row>
    <row r="4777" s="2" customFormat="1" ht="40.5" spans="1:10">
      <c r="A4777" s="6">
        <f>4775</f>
        <v>4775</v>
      </c>
      <c r="B4777" s="6" t="s">
        <v>12349</v>
      </c>
      <c r="C4777" s="6" t="s">
        <v>12</v>
      </c>
      <c r="D4777" s="6" t="s">
        <v>11447</v>
      </c>
      <c r="E4777" s="6" t="s">
        <v>12339</v>
      </c>
      <c r="F4777" s="6" t="s">
        <v>12350</v>
      </c>
      <c r="G4777" s="6" t="s">
        <v>16</v>
      </c>
      <c r="H4777" s="5">
        <v>7</v>
      </c>
      <c r="I4777" s="6" t="s">
        <v>12351</v>
      </c>
      <c r="J4777" s="5">
        <v>1500</v>
      </c>
    </row>
    <row r="4778" s="2" customFormat="1" spans="1:10">
      <c r="A4778" s="6">
        <f>4776</f>
        <v>4776</v>
      </c>
      <c r="B4778" s="6" t="s">
        <v>12352</v>
      </c>
      <c r="C4778" s="6" t="s">
        <v>12</v>
      </c>
      <c r="D4778" s="6" t="s">
        <v>11447</v>
      </c>
      <c r="E4778" s="6" t="s">
        <v>12339</v>
      </c>
      <c r="F4778" s="6" t="s">
        <v>12353</v>
      </c>
      <c r="G4778" s="6" t="s">
        <v>16</v>
      </c>
      <c r="H4778" s="5">
        <v>1</v>
      </c>
      <c r="I4778" s="6" t="s">
        <v>12353</v>
      </c>
      <c r="J4778" s="5">
        <v>573</v>
      </c>
    </row>
    <row r="4779" s="2" customFormat="1" spans="1:10">
      <c r="A4779" s="6">
        <f>4777</f>
        <v>4777</v>
      </c>
      <c r="B4779" s="6" t="s">
        <v>12354</v>
      </c>
      <c r="C4779" s="6" t="s">
        <v>12</v>
      </c>
      <c r="D4779" s="6" t="s">
        <v>11447</v>
      </c>
      <c r="E4779" s="6" t="s">
        <v>12339</v>
      </c>
      <c r="F4779" s="6" t="s">
        <v>12355</v>
      </c>
      <c r="G4779" s="6" t="s">
        <v>16</v>
      </c>
      <c r="H4779" s="5">
        <v>1</v>
      </c>
      <c r="I4779" s="6" t="s">
        <v>12355</v>
      </c>
      <c r="J4779" s="5">
        <v>360</v>
      </c>
    </row>
    <row r="4780" s="2" customFormat="1" spans="1:10">
      <c r="A4780" s="6">
        <f>4778</f>
        <v>4778</v>
      </c>
      <c r="B4780" s="6" t="s">
        <v>12356</v>
      </c>
      <c r="C4780" s="6" t="s">
        <v>12</v>
      </c>
      <c r="D4780" s="6" t="s">
        <v>11447</v>
      </c>
      <c r="E4780" s="6" t="s">
        <v>12339</v>
      </c>
      <c r="F4780" s="6" t="s">
        <v>12357</v>
      </c>
      <c r="G4780" s="6" t="s">
        <v>16</v>
      </c>
      <c r="H4780" s="5">
        <v>1</v>
      </c>
      <c r="I4780" s="6" t="s">
        <v>12357</v>
      </c>
      <c r="J4780" s="5">
        <v>620</v>
      </c>
    </row>
    <row r="4781" s="2" customFormat="1" spans="1:10">
      <c r="A4781" s="6">
        <f>4779</f>
        <v>4779</v>
      </c>
      <c r="B4781" s="6" t="s">
        <v>12358</v>
      </c>
      <c r="C4781" s="6" t="s">
        <v>12</v>
      </c>
      <c r="D4781" s="6" t="s">
        <v>11447</v>
      </c>
      <c r="E4781" s="6" t="s">
        <v>12339</v>
      </c>
      <c r="F4781" s="6" t="s">
        <v>12359</v>
      </c>
      <c r="G4781" s="6" t="s">
        <v>16</v>
      </c>
      <c r="H4781" s="5">
        <v>2</v>
      </c>
      <c r="I4781" s="6" t="s">
        <v>12360</v>
      </c>
      <c r="J4781" s="5">
        <v>840</v>
      </c>
    </row>
    <row r="4782" s="2" customFormat="1" ht="27" spans="1:10">
      <c r="A4782" s="6">
        <f>4780</f>
        <v>4780</v>
      </c>
      <c r="B4782" s="6" t="s">
        <v>12361</v>
      </c>
      <c r="C4782" s="6" t="s">
        <v>12</v>
      </c>
      <c r="D4782" s="6" t="s">
        <v>11447</v>
      </c>
      <c r="E4782" s="6" t="s">
        <v>12339</v>
      </c>
      <c r="F4782" s="6" t="s">
        <v>12362</v>
      </c>
      <c r="G4782" s="6" t="s">
        <v>16</v>
      </c>
      <c r="H4782" s="5">
        <v>4</v>
      </c>
      <c r="I4782" s="6" t="s">
        <v>12363</v>
      </c>
      <c r="J4782" s="5">
        <v>840</v>
      </c>
    </row>
    <row r="4783" s="2" customFormat="1" ht="27" spans="1:10">
      <c r="A4783" s="6">
        <f>4781</f>
        <v>4781</v>
      </c>
      <c r="B4783" s="6" t="s">
        <v>12364</v>
      </c>
      <c r="C4783" s="6" t="s">
        <v>12</v>
      </c>
      <c r="D4783" s="6" t="s">
        <v>11447</v>
      </c>
      <c r="E4783" s="6" t="s">
        <v>12339</v>
      </c>
      <c r="F4783" s="6" t="s">
        <v>12365</v>
      </c>
      <c r="G4783" s="6" t="s">
        <v>16</v>
      </c>
      <c r="H4783" s="5">
        <v>4</v>
      </c>
      <c r="I4783" s="6" t="s">
        <v>12366</v>
      </c>
      <c r="J4783" s="5">
        <v>760</v>
      </c>
    </row>
    <row r="4784" s="2" customFormat="1" ht="27" spans="1:10">
      <c r="A4784" s="6">
        <f>4782</f>
        <v>4782</v>
      </c>
      <c r="B4784" s="6" t="s">
        <v>12367</v>
      </c>
      <c r="C4784" s="6" t="s">
        <v>12</v>
      </c>
      <c r="D4784" s="6" t="s">
        <v>11447</v>
      </c>
      <c r="E4784" s="6" t="s">
        <v>12339</v>
      </c>
      <c r="F4784" s="6" t="s">
        <v>12368</v>
      </c>
      <c r="G4784" s="6" t="s">
        <v>16</v>
      </c>
      <c r="H4784" s="5">
        <v>5</v>
      </c>
      <c r="I4784" s="6" t="s">
        <v>12369</v>
      </c>
      <c r="J4784" s="5">
        <v>1400</v>
      </c>
    </row>
    <row r="4785" s="2" customFormat="1" spans="1:10">
      <c r="A4785" s="6">
        <f>4783</f>
        <v>4783</v>
      </c>
      <c r="B4785" s="6" t="s">
        <v>12370</v>
      </c>
      <c r="C4785" s="6" t="s">
        <v>12</v>
      </c>
      <c r="D4785" s="6" t="s">
        <v>11447</v>
      </c>
      <c r="E4785" s="6" t="s">
        <v>12339</v>
      </c>
      <c r="F4785" s="6" t="s">
        <v>12371</v>
      </c>
      <c r="G4785" s="6" t="s">
        <v>16</v>
      </c>
      <c r="H4785" s="5">
        <v>1</v>
      </c>
      <c r="I4785" s="6" t="s">
        <v>12371</v>
      </c>
      <c r="J4785" s="5">
        <v>238</v>
      </c>
    </row>
    <row r="4786" s="2" customFormat="1" spans="1:10">
      <c r="A4786" s="6">
        <f>4784</f>
        <v>4784</v>
      </c>
      <c r="B4786" s="6" t="s">
        <v>12372</v>
      </c>
      <c r="C4786" s="6" t="s">
        <v>12</v>
      </c>
      <c r="D4786" s="6" t="s">
        <v>11447</v>
      </c>
      <c r="E4786" s="6" t="s">
        <v>12339</v>
      </c>
      <c r="F4786" s="6" t="s">
        <v>12373</v>
      </c>
      <c r="G4786" s="6" t="s">
        <v>16</v>
      </c>
      <c r="H4786" s="5">
        <v>3</v>
      </c>
      <c r="I4786" s="6" t="s">
        <v>12374</v>
      </c>
      <c r="J4786" s="5">
        <v>1160</v>
      </c>
    </row>
    <row r="4787" s="2" customFormat="1" spans="1:10">
      <c r="A4787" s="6">
        <f>4785</f>
        <v>4785</v>
      </c>
      <c r="B4787" s="6" t="s">
        <v>12375</v>
      </c>
      <c r="C4787" s="6" t="s">
        <v>12</v>
      </c>
      <c r="D4787" s="6" t="s">
        <v>11447</v>
      </c>
      <c r="E4787" s="6" t="s">
        <v>12339</v>
      </c>
      <c r="F4787" s="6" t="s">
        <v>12376</v>
      </c>
      <c r="G4787" s="6" t="s">
        <v>16</v>
      </c>
      <c r="H4787" s="5">
        <v>1</v>
      </c>
      <c r="I4787" s="6" t="s">
        <v>12376</v>
      </c>
      <c r="J4787" s="5">
        <v>238</v>
      </c>
    </row>
    <row r="4788" s="2" customFormat="1" spans="1:10">
      <c r="A4788" s="6">
        <f>4786</f>
        <v>4786</v>
      </c>
      <c r="B4788" s="6" t="s">
        <v>12377</v>
      </c>
      <c r="C4788" s="6" t="s">
        <v>12</v>
      </c>
      <c r="D4788" s="6" t="s">
        <v>11447</v>
      </c>
      <c r="E4788" s="6" t="s">
        <v>12339</v>
      </c>
      <c r="F4788" s="6" t="s">
        <v>12378</v>
      </c>
      <c r="G4788" s="6" t="s">
        <v>16</v>
      </c>
      <c r="H4788" s="5">
        <v>2</v>
      </c>
      <c r="I4788" s="6" t="s">
        <v>12379</v>
      </c>
      <c r="J4788" s="5">
        <v>516</v>
      </c>
    </row>
    <row r="4789" s="2" customFormat="1" spans="1:10">
      <c r="A4789" s="6">
        <f>4787</f>
        <v>4787</v>
      </c>
      <c r="B4789" s="6" t="s">
        <v>12380</v>
      </c>
      <c r="C4789" s="6" t="s">
        <v>12</v>
      </c>
      <c r="D4789" s="6" t="s">
        <v>11447</v>
      </c>
      <c r="E4789" s="6" t="s">
        <v>12339</v>
      </c>
      <c r="F4789" s="6" t="s">
        <v>12381</v>
      </c>
      <c r="G4789" s="6" t="s">
        <v>16</v>
      </c>
      <c r="H4789" s="5">
        <v>1</v>
      </c>
      <c r="I4789" s="6" t="s">
        <v>12381</v>
      </c>
      <c r="J4789" s="5">
        <v>590</v>
      </c>
    </row>
    <row r="4790" s="2" customFormat="1" spans="1:10">
      <c r="A4790" s="6">
        <f>4788</f>
        <v>4788</v>
      </c>
      <c r="B4790" s="6" t="s">
        <v>12382</v>
      </c>
      <c r="C4790" s="6" t="s">
        <v>12</v>
      </c>
      <c r="D4790" s="6" t="s">
        <v>11447</v>
      </c>
      <c r="E4790" s="6" t="s">
        <v>12339</v>
      </c>
      <c r="F4790" s="6" t="s">
        <v>12383</v>
      </c>
      <c r="G4790" s="6" t="s">
        <v>16</v>
      </c>
      <c r="H4790" s="5">
        <v>1</v>
      </c>
      <c r="I4790" s="6" t="s">
        <v>12383</v>
      </c>
      <c r="J4790" s="5">
        <v>400</v>
      </c>
    </row>
    <row r="4791" s="2" customFormat="1" ht="27" spans="1:10">
      <c r="A4791" s="6">
        <f>4789</f>
        <v>4789</v>
      </c>
      <c r="B4791" s="6" t="s">
        <v>12384</v>
      </c>
      <c r="C4791" s="6" t="s">
        <v>12</v>
      </c>
      <c r="D4791" s="6" t="s">
        <v>11447</v>
      </c>
      <c r="E4791" s="6" t="s">
        <v>12339</v>
      </c>
      <c r="F4791" s="6" t="s">
        <v>12385</v>
      </c>
      <c r="G4791" s="6" t="s">
        <v>16</v>
      </c>
      <c r="H4791" s="5">
        <v>5</v>
      </c>
      <c r="I4791" s="6" t="s">
        <v>12386</v>
      </c>
      <c r="J4791" s="5">
        <v>1250</v>
      </c>
    </row>
    <row r="4792" s="2" customFormat="1" spans="1:10">
      <c r="A4792" s="6">
        <f>4790</f>
        <v>4790</v>
      </c>
      <c r="B4792" s="6" t="s">
        <v>12387</v>
      </c>
      <c r="C4792" s="6" t="s">
        <v>12</v>
      </c>
      <c r="D4792" s="6" t="s">
        <v>11447</v>
      </c>
      <c r="E4792" s="6" t="s">
        <v>12339</v>
      </c>
      <c r="F4792" s="6" t="s">
        <v>12388</v>
      </c>
      <c r="G4792" s="6" t="s">
        <v>16</v>
      </c>
      <c r="H4792" s="5">
        <v>1</v>
      </c>
      <c r="I4792" s="6" t="s">
        <v>12388</v>
      </c>
      <c r="J4792" s="5">
        <v>380</v>
      </c>
    </row>
    <row r="4793" s="2" customFormat="1" spans="1:10">
      <c r="A4793" s="6">
        <f>4791</f>
        <v>4791</v>
      </c>
      <c r="B4793" s="6" t="s">
        <v>12389</v>
      </c>
      <c r="C4793" s="6" t="s">
        <v>12</v>
      </c>
      <c r="D4793" s="6" t="s">
        <v>11447</v>
      </c>
      <c r="E4793" s="6" t="s">
        <v>12339</v>
      </c>
      <c r="F4793" s="6" t="s">
        <v>12390</v>
      </c>
      <c r="G4793" s="6" t="s">
        <v>16</v>
      </c>
      <c r="H4793" s="5">
        <v>1</v>
      </c>
      <c r="I4793" s="6" t="s">
        <v>12390</v>
      </c>
      <c r="J4793" s="5">
        <v>225</v>
      </c>
    </row>
    <row r="4794" s="2" customFormat="1" spans="1:10">
      <c r="A4794" s="6">
        <f>4792</f>
        <v>4792</v>
      </c>
      <c r="B4794" s="6" t="s">
        <v>12391</v>
      </c>
      <c r="C4794" s="6" t="s">
        <v>12</v>
      </c>
      <c r="D4794" s="6" t="s">
        <v>11447</v>
      </c>
      <c r="E4794" s="6" t="s">
        <v>12339</v>
      </c>
      <c r="F4794" s="6" t="s">
        <v>12392</v>
      </c>
      <c r="G4794" s="6" t="s">
        <v>16</v>
      </c>
      <c r="H4794" s="5">
        <v>1</v>
      </c>
      <c r="I4794" s="6" t="s">
        <v>12392</v>
      </c>
      <c r="J4794" s="5">
        <v>240</v>
      </c>
    </row>
    <row r="4795" s="2" customFormat="1" spans="1:10">
      <c r="A4795" s="6">
        <f>4793</f>
        <v>4793</v>
      </c>
      <c r="B4795" s="6" t="s">
        <v>12393</v>
      </c>
      <c r="C4795" s="6" t="s">
        <v>12</v>
      </c>
      <c r="D4795" s="6" t="s">
        <v>11447</v>
      </c>
      <c r="E4795" s="6" t="s">
        <v>12339</v>
      </c>
      <c r="F4795" s="6" t="s">
        <v>12394</v>
      </c>
      <c r="G4795" s="6" t="s">
        <v>16</v>
      </c>
      <c r="H4795" s="5">
        <v>1</v>
      </c>
      <c r="I4795" s="6" t="s">
        <v>12394</v>
      </c>
      <c r="J4795" s="5">
        <v>445</v>
      </c>
    </row>
    <row r="4796" s="2" customFormat="1" spans="1:10">
      <c r="A4796" s="6">
        <f>4794</f>
        <v>4794</v>
      </c>
      <c r="B4796" s="6" t="s">
        <v>12395</v>
      </c>
      <c r="C4796" s="6" t="s">
        <v>12</v>
      </c>
      <c r="D4796" s="6" t="s">
        <v>11447</v>
      </c>
      <c r="E4796" s="6" t="s">
        <v>12339</v>
      </c>
      <c r="F4796" s="6" t="s">
        <v>12396</v>
      </c>
      <c r="G4796" s="6" t="s">
        <v>16</v>
      </c>
      <c r="H4796" s="5">
        <v>1</v>
      </c>
      <c r="I4796" s="6" t="s">
        <v>12396</v>
      </c>
      <c r="J4796" s="5">
        <v>238</v>
      </c>
    </row>
    <row r="4797" s="2" customFormat="1" spans="1:10">
      <c r="A4797" s="6">
        <f>4795</f>
        <v>4795</v>
      </c>
      <c r="B4797" s="6" t="s">
        <v>12397</v>
      </c>
      <c r="C4797" s="6" t="s">
        <v>12</v>
      </c>
      <c r="D4797" s="6" t="s">
        <v>11447</v>
      </c>
      <c r="E4797" s="6" t="s">
        <v>12339</v>
      </c>
      <c r="F4797" s="6" t="s">
        <v>12398</v>
      </c>
      <c r="G4797" s="6" t="s">
        <v>16</v>
      </c>
      <c r="H4797" s="5">
        <v>2</v>
      </c>
      <c r="I4797" s="6" t="s">
        <v>12399</v>
      </c>
      <c r="J4797" s="5">
        <v>950</v>
      </c>
    </row>
    <row r="4798" s="2" customFormat="1" spans="1:10">
      <c r="A4798" s="6">
        <f>4796</f>
        <v>4796</v>
      </c>
      <c r="B4798" s="6" t="s">
        <v>12400</v>
      </c>
      <c r="C4798" s="6" t="s">
        <v>12</v>
      </c>
      <c r="D4798" s="6" t="s">
        <v>11447</v>
      </c>
      <c r="E4798" s="6" t="s">
        <v>12339</v>
      </c>
      <c r="F4798" s="6" t="s">
        <v>12401</v>
      </c>
      <c r="G4798" s="6" t="s">
        <v>16</v>
      </c>
      <c r="H4798" s="5">
        <v>1</v>
      </c>
      <c r="I4798" s="6" t="s">
        <v>12401</v>
      </c>
      <c r="J4798" s="5">
        <v>380</v>
      </c>
    </row>
    <row r="4799" s="2" customFormat="1" spans="1:10">
      <c r="A4799" s="6">
        <f>4797</f>
        <v>4797</v>
      </c>
      <c r="B4799" s="6" t="s">
        <v>12402</v>
      </c>
      <c r="C4799" s="6" t="s">
        <v>12</v>
      </c>
      <c r="D4799" s="6" t="s">
        <v>11447</v>
      </c>
      <c r="E4799" s="6" t="s">
        <v>12339</v>
      </c>
      <c r="F4799" s="6" t="s">
        <v>12403</v>
      </c>
      <c r="G4799" s="6" t="s">
        <v>16</v>
      </c>
      <c r="H4799" s="5">
        <v>1</v>
      </c>
      <c r="I4799" s="6" t="s">
        <v>12403</v>
      </c>
      <c r="J4799" s="5">
        <v>238</v>
      </c>
    </row>
    <row r="4800" s="2" customFormat="1" spans="1:10">
      <c r="A4800" s="6">
        <f>4798</f>
        <v>4798</v>
      </c>
      <c r="B4800" s="6" t="s">
        <v>12404</v>
      </c>
      <c r="C4800" s="6" t="s">
        <v>12</v>
      </c>
      <c r="D4800" s="6" t="s">
        <v>11447</v>
      </c>
      <c r="E4800" s="6" t="s">
        <v>12339</v>
      </c>
      <c r="F4800" s="6" t="s">
        <v>12405</v>
      </c>
      <c r="G4800" s="6" t="s">
        <v>16</v>
      </c>
      <c r="H4800" s="5">
        <v>3</v>
      </c>
      <c r="I4800" s="6" t="s">
        <v>12406</v>
      </c>
      <c r="J4800" s="5">
        <v>750</v>
      </c>
    </row>
    <row r="4801" s="2" customFormat="1" spans="1:10">
      <c r="A4801" s="6">
        <f>4799</f>
        <v>4799</v>
      </c>
      <c r="B4801" s="6" t="s">
        <v>12407</v>
      </c>
      <c r="C4801" s="6" t="s">
        <v>12</v>
      </c>
      <c r="D4801" s="6" t="s">
        <v>11447</v>
      </c>
      <c r="E4801" s="6" t="s">
        <v>12339</v>
      </c>
      <c r="F4801" s="6" t="s">
        <v>12408</v>
      </c>
      <c r="G4801" s="6" t="s">
        <v>16</v>
      </c>
      <c r="H4801" s="5">
        <v>1</v>
      </c>
      <c r="I4801" s="6" t="s">
        <v>12408</v>
      </c>
      <c r="J4801" s="5">
        <v>233</v>
      </c>
    </row>
    <row r="4802" s="2" customFormat="1" spans="1:10">
      <c r="A4802" s="6">
        <f>4800</f>
        <v>4800</v>
      </c>
      <c r="B4802" s="6" t="s">
        <v>12409</v>
      </c>
      <c r="C4802" s="6" t="s">
        <v>12</v>
      </c>
      <c r="D4802" s="6" t="s">
        <v>11447</v>
      </c>
      <c r="E4802" s="6" t="s">
        <v>12339</v>
      </c>
      <c r="F4802" s="6" t="s">
        <v>12410</v>
      </c>
      <c r="G4802" s="6" t="s">
        <v>16</v>
      </c>
      <c r="H4802" s="5">
        <v>1</v>
      </c>
      <c r="I4802" s="6" t="s">
        <v>12410</v>
      </c>
      <c r="J4802" s="5">
        <v>240</v>
      </c>
    </row>
    <row r="4803" s="2" customFormat="1" spans="1:10">
      <c r="A4803" s="6">
        <f>4801</f>
        <v>4801</v>
      </c>
      <c r="B4803" s="6" t="s">
        <v>12411</v>
      </c>
      <c r="C4803" s="6" t="s">
        <v>12</v>
      </c>
      <c r="D4803" s="6" t="s">
        <v>11447</v>
      </c>
      <c r="E4803" s="6" t="s">
        <v>12339</v>
      </c>
      <c r="F4803" s="6" t="s">
        <v>12412</v>
      </c>
      <c r="G4803" s="6" t="s">
        <v>16</v>
      </c>
      <c r="H4803" s="5">
        <v>1</v>
      </c>
      <c r="I4803" s="6" t="s">
        <v>12412</v>
      </c>
      <c r="J4803" s="5">
        <v>233</v>
      </c>
    </row>
    <row r="4804" s="2" customFormat="1" ht="27" spans="1:10">
      <c r="A4804" s="6">
        <f>4802</f>
        <v>4802</v>
      </c>
      <c r="B4804" s="6" t="s">
        <v>12413</v>
      </c>
      <c r="C4804" s="6" t="s">
        <v>12</v>
      </c>
      <c r="D4804" s="6" t="s">
        <v>11447</v>
      </c>
      <c r="E4804" s="6" t="s">
        <v>12339</v>
      </c>
      <c r="F4804" s="6" t="s">
        <v>12414</v>
      </c>
      <c r="G4804" s="6" t="s">
        <v>16</v>
      </c>
      <c r="H4804" s="5">
        <v>5</v>
      </c>
      <c r="I4804" s="6" t="s">
        <v>12415</v>
      </c>
      <c r="J4804" s="5">
        <v>1050</v>
      </c>
    </row>
    <row r="4805" s="2" customFormat="1" spans="1:10">
      <c r="A4805" s="6">
        <f>4803</f>
        <v>4803</v>
      </c>
      <c r="B4805" s="6" t="s">
        <v>12416</v>
      </c>
      <c r="C4805" s="6" t="s">
        <v>12</v>
      </c>
      <c r="D4805" s="6" t="s">
        <v>11447</v>
      </c>
      <c r="E4805" s="6" t="s">
        <v>12339</v>
      </c>
      <c r="F4805" s="6" t="s">
        <v>12417</v>
      </c>
      <c r="G4805" s="6" t="s">
        <v>16</v>
      </c>
      <c r="H4805" s="5">
        <v>2</v>
      </c>
      <c r="I4805" s="6" t="s">
        <v>12418</v>
      </c>
      <c r="J4805" s="5">
        <v>920</v>
      </c>
    </row>
    <row r="4806" s="2" customFormat="1" spans="1:10">
      <c r="A4806" s="6">
        <f>4804</f>
        <v>4804</v>
      </c>
      <c r="B4806" s="6" t="s">
        <v>12419</v>
      </c>
      <c r="C4806" s="6" t="s">
        <v>12</v>
      </c>
      <c r="D4806" s="6" t="s">
        <v>11447</v>
      </c>
      <c r="E4806" s="6" t="s">
        <v>12339</v>
      </c>
      <c r="F4806" s="6" t="s">
        <v>12420</v>
      </c>
      <c r="G4806" s="6" t="s">
        <v>16</v>
      </c>
      <c r="H4806" s="5">
        <v>1</v>
      </c>
      <c r="I4806" s="6" t="s">
        <v>12420</v>
      </c>
      <c r="J4806" s="5">
        <v>235</v>
      </c>
    </row>
    <row r="4807" s="2" customFormat="1" spans="1:10">
      <c r="A4807" s="6">
        <f>4805</f>
        <v>4805</v>
      </c>
      <c r="B4807" s="6" t="s">
        <v>12421</v>
      </c>
      <c r="C4807" s="6" t="s">
        <v>12</v>
      </c>
      <c r="D4807" s="6" t="s">
        <v>11447</v>
      </c>
      <c r="E4807" s="6" t="s">
        <v>12339</v>
      </c>
      <c r="F4807" s="6" t="s">
        <v>12422</v>
      </c>
      <c r="G4807" s="6" t="s">
        <v>16</v>
      </c>
      <c r="H4807" s="5">
        <v>1</v>
      </c>
      <c r="I4807" s="6" t="s">
        <v>12422</v>
      </c>
      <c r="J4807" s="5">
        <v>240</v>
      </c>
    </row>
    <row r="4808" s="2" customFormat="1" ht="27" spans="1:10">
      <c r="A4808" s="6">
        <f>4806</f>
        <v>4806</v>
      </c>
      <c r="B4808" s="6" t="s">
        <v>12423</v>
      </c>
      <c r="C4808" s="6" t="s">
        <v>12</v>
      </c>
      <c r="D4808" s="6" t="s">
        <v>11447</v>
      </c>
      <c r="E4808" s="6" t="s">
        <v>12339</v>
      </c>
      <c r="F4808" s="6" t="s">
        <v>12424</v>
      </c>
      <c r="G4808" s="6" t="s">
        <v>16</v>
      </c>
      <c r="H4808" s="5">
        <v>4</v>
      </c>
      <c r="I4808" s="6" t="s">
        <v>12425</v>
      </c>
      <c r="J4808" s="5">
        <v>1060</v>
      </c>
    </row>
    <row r="4809" s="2" customFormat="1" spans="1:10">
      <c r="A4809" s="6">
        <f>4807</f>
        <v>4807</v>
      </c>
      <c r="B4809" s="6" t="s">
        <v>12426</v>
      </c>
      <c r="C4809" s="6" t="s">
        <v>12</v>
      </c>
      <c r="D4809" s="6" t="s">
        <v>11447</v>
      </c>
      <c r="E4809" s="6" t="s">
        <v>12339</v>
      </c>
      <c r="F4809" s="6" t="s">
        <v>12427</v>
      </c>
      <c r="G4809" s="6" t="s">
        <v>16</v>
      </c>
      <c r="H4809" s="5">
        <v>1</v>
      </c>
      <c r="I4809" s="6" t="s">
        <v>12427</v>
      </c>
      <c r="J4809" s="5">
        <v>223</v>
      </c>
    </row>
    <row r="4810" s="2" customFormat="1" ht="27" spans="1:10">
      <c r="A4810" s="6">
        <f>4808</f>
        <v>4808</v>
      </c>
      <c r="B4810" s="6" t="s">
        <v>12428</v>
      </c>
      <c r="C4810" s="6" t="s">
        <v>12</v>
      </c>
      <c r="D4810" s="6" t="s">
        <v>11447</v>
      </c>
      <c r="E4810" s="6" t="s">
        <v>12339</v>
      </c>
      <c r="F4810" s="6" t="s">
        <v>12429</v>
      </c>
      <c r="G4810" s="6" t="s">
        <v>16</v>
      </c>
      <c r="H4810" s="5">
        <v>6</v>
      </c>
      <c r="I4810" s="6" t="s">
        <v>12430</v>
      </c>
      <c r="J4810" s="5">
        <v>1380</v>
      </c>
    </row>
    <row r="4811" s="2" customFormat="1" spans="1:10">
      <c r="A4811" s="6">
        <f>4809</f>
        <v>4809</v>
      </c>
      <c r="B4811" s="6" t="s">
        <v>12431</v>
      </c>
      <c r="C4811" s="6" t="s">
        <v>12</v>
      </c>
      <c r="D4811" s="6" t="s">
        <v>11447</v>
      </c>
      <c r="E4811" s="6" t="s">
        <v>12339</v>
      </c>
      <c r="F4811" s="6" t="s">
        <v>4068</v>
      </c>
      <c r="G4811" s="6" t="s">
        <v>16</v>
      </c>
      <c r="H4811" s="5">
        <v>1</v>
      </c>
      <c r="I4811" s="6" t="s">
        <v>4068</v>
      </c>
      <c r="J4811" s="5">
        <v>238</v>
      </c>
    </row>
    <row r="4812" s="2" customFormat="1" spans="1:10">
      <c r="A4812" s="6">
        <f>4810</f>
        <v>4810</v>
      </c>
      <c r="B4812" s="6" t="s">
        <v>12432</v>
      </c>
      <c r="C4812" s="6" t="s">
        <v>12</v>
      </c>
      <c r="D4812" s="6" t="s">
        <v>11447</v>
      </c>
      <c r="E4812" s="6" t="s">
        <v>12339</v>
      </c>
      <c r="F4812" s="6" t="s">
        <v>12433</v>
      </c>
      <c r="G4812" s="6" t="s">
        <v>16</v>
      </c>
      <c r="H4812" s="5">
        <v>3</v>
      </c>
      <c r="I4812" s="6" t="s">
        <v>12434</v>
      </c>
      <c r="J4812" s="5">
        <v>780</v>
      </c>
    </row>
    <row r="4813" s="2" customFormat="1" ht="27" spans="1:10">
      <c r="A4813" s="6">
        <f>4811</f>
        <v>4811</v>
      </c>
      <c r="B4813" s="6" t="s">
        <v>12435</v>
      </c>
      <c r="C4813" s="6" t="s">
        <v>12</v>
      </c>
      <c r="D4813" s="6" t="s">
        <v>11447</v>
      </c>
      <c r="E4813" s="6" t="s">
        <v>12339</v>
      </c>
      <c r="F4813" s="6" t="s">
        <v>12436</v>
      </c>
      <c r="G4813" s="6" t="s">
        <v>16</v>
      </c>
      <c r="H4813" s="5">
        <v>5</v>
      </c>
      <c r="I4813" s="6" t="s">
        <v>12437</v>
      </c>
      <c r="J4813" s="5">
        <v>770</v>
      </c>
    </row>
    <row r="4814" s="2" customFormat="1" spans="1:10">
      <c r="A4814" s="6">
        <f>4812</f>
        <v>4812</v>
      </c>
      <c r="B4814" s="6" t="s">
        <v>12438</v>
      </c>
      <c r="C4814" s="6" t="s">
        <v>12</v>
      </c>
      <c r="D4814" s="6" t="s">
        <v>11447</v>
      </c>
      <c r="E4814" s="6" t="s">
        <v>12339</v>
      </c>
      <c r="F4814" s="6" t="s">
        <v>12439</v>
      </c>
      <c r="G4814" s="6" t="s">
        <v>16</v>
      </c>
      <c r="H4814" s="5">
        <v>1</v>
      </c>
      <c r="I4814" s="6" t="s">
        <v>12439</v>
      </c>
      <c r="J4814" s="5">
        <v>240</v>
      </c>
    </row>
    <row r="4815" s="2" customFormat="1" spans="1:10">
      <c r="A4815" s="6">
        <f>4813</f>
        <v>4813</v>
      </c>
      <c r="B4815" s="6" t="s">
        <v>12440</v>
      </c>
      <c r="C4815" s="6" t="s">
        <v>12</v>
      </c>
      <c r="D4815" s="6" t="s">
        <v>11447</v>
      </c>
      <c r="E4815" s="6" t="s">
        <v>12339</v>
      </c>
      <c r="F4815" s="6" t="s">
        <v>5035</v>
      </c>
      <c r="G4815" s="6" t="s">
        <v>16</v>
      </c>
      <c r="H4815" s="5">
        <v>1</v>
      </c>
      <c r="I4815" s="6" t="s">
        <v>5035</v>
      </c>
      <c r="J4815" s="5">
        <v>265</v>
      </c>
    </row>
    <row r="4816" s="2" customFormat="1" spans="1:10">
      <c r="A4816" s="6">
        <f>4814</f>
        <v>4814</v>
      </c>
      <c r="B4816" s="6" t="s">
        <v>12441</v>
      </c>
      <c r="C4816" s="6" t="s">
        <v>12</v>
      </c>
      <c r="D4816" s="6" t="s">
        <v>11447</v>
      </c>
      <c r="E4816" s="6" t="s">
        <v>12339</v>
      </c>
      <c r="F4816" s="6" t="s">
        <v>12442</v>
      </c>
      <c r="G4816" s="6" t="s">
        <v>16</v>
      </c>
      <c r="H4816" s="5">
        <v>1</v>
      </c>
      <c r="I4816" s="6" t="s">
        <v>12442</v>
      </c>
      <c r="J4816" s="5">
        <v>238</v>
      </c>
    </row>
    <row r="4817" s="2" customFormat="1" spans="1:10">
      <c r="A4817" s="6">
        <f>4815</f>
        <v>4815</v>
      </c>
      <c r="B4817" s="6" t="s">
        <v>12443</v>
      </c>
      <c r="C4817" s="6" t="s">
        <v>12</v>
      </c>
      <c r="D4817" s="6" t="s">
        <v>11447</v>
      </c>
      <c r="E4817" s="6" t="s">
        <v>12339</v>
      </c>
      <c r="F4817" s="6" t="s">
        <v>12444</v>
      </c>
      <c r="G4817" s="6" t="s">
        <v>16</v>
      </c>
      <c r="H4817" s="5">
        <v>1</v>
      </c>
      <c r="I4817" s="6" t="s">
        <v>12444</v>
      </c>
      <c r="J4817" s="5">
        <v>230</v>
      </c>
    </row>
    <row r="4818" s="2" customFormat="1" spans="1:10">
      <c r="A4818" s="6">
        <f>4816</f>
        <v>4816</v>
      </c>
      <c r="B4818" s="6" t="s">
        <v>12445</v>
      </c>
      <c r="C4818" s="6" t="s">
        <v>12</v>
      </c>
      <c r="D4818" s="6" t="s">
        <v>11447</v>
      </c>
      <c r="E4818" s="6" t="s">
        <v>12339</v>
      </c>
      <c r="F4818" s="6" t="s">
        <v>12446</v>
      </c>
      <c r="G4818" s="6" t="s">
        <v>16</v>
      </c>
      <c r="H4818" s="5">
        <v>2</v>
      </c>
      <c r="I4818" s="6" t="s">
        <v>12447</v>
      </c>
      <c r="J4818" s="5">
        <v>640</v>
      </c>
    </row>
    <row r="4819" s="2" customFormat="1" spans="1:10">
      <c r="A4819" s="6">
        <f>4817</f>
        <v>4817</v>
      </c>
      <c r="B4819" s="6" t="s">
        <v>12448</v>
      </c>
      <c r="C4819" s="6" t="s">
        <v>12</v>
      </c>
      <c r="D4819" s="6" t="s">
        <v>11447</v>
      </c>
      <c r="E4819" s="6" t="s">
        <v>12339</v>
      </c>
      <c r="F4819" s="6" t="s">
        <v>12449</v>
      </c>
      <c r="G4819" s="6" t="s">
        <v>16</v>
      </c>
      <c r="H4819" s="5">
        <v>1</v>
      </c>
      <c r="I4819" s="6" t="s">
        <v>12449</v>
      </c>
      <c r="J4819" s="5">
        <v>340</v>
      </c>
    </row>
    <row r="4820" s="2" customFormat="1" spans="1:10">
      <c r="A4820" s="6">
        <f>4818</f>
        <v>4818</v>
      </c>
      <c r="B4820" s="6" t="s">
        <v>12450</v>
      </c>
      <c r="C4820" s="6" t="s">
        <v>12</v>
      </c>
      <c r="D4820" s="6" t="s">
        <v>11447</v>
      </c>
      <c r="E4820" s="6" t="s">
        <v>12339</v>
      </c>
      <c r="F4820" s="6" t="s">
        <v>12451</v>
      </c>
      <c r="G4820" s="6" t="s">
        <v>16</v>
      </c>
      <c r="H4820" s="5">
        <v>2</v>
      </c>
      <c r="I4820" s="6" t="s">
        <v>12452</v>
      </c>
      <c r="J4820" s="5">
        <v>400</v>
      </c>
    </row>
    <row r="4821" s="2" customFormat="1" spans="1:10">
      <c r="A4821" s="6">
        <f>4819</f>
        <v>4819</v>
      </c>
      <c r="B4821" s="6" t="s">
        <v>12453</v>
      </c>
      <c r="C4821" s="6" t="s">
        <v>12</v>
      </c>
      <c r="D4821" s="6" t="s">
        <v>11447</v>
      </c>
      <c r="E4821" s="6" t="s">
        <v>12339</v>
      </c>
      <c r="F4821" s="6" t="s">
        <v>12454</v>
      </c>
      <c r="G4821" s="6" t="s">
        <v>16</v>
      </c>
      <c r="H4821" s="5">
        <v>2</v>
      </c>
      <c r="I4821" s="6" t="s">
        <v>12455</v>
      </c>
      <c r="J4821" s="5">
        <v>760</v>
      </c>
    </row>
    <row r="4822" s="2" customFormat="1" spans="1:10">
      <c r="A4822" s="6">
        <f>4820</f>
        <v>4820</v>
      </c>
      <c r="B4822" s="6" t="s">
        <v>12456</v>
      </c>
      <c r="C4822" s="6" t="s">
        <v>12</v>
      </c>
      <c r="D4822" s="6" t="s">
        <v>11447</v>
      </c>
      <c r="E4822" s="6" t="s">
        <v>12339</v>
      </c>
      <c r="F4822" s="6" t="s">
        <v>12457</v>
      </c>
      <c r="G4822" s="6" t="s">
        <v>16</v>
      </c>
      <c r="H4822" s="5">
        <v>1</v>
      </c>
      <c r="I4822" s="6" t="s">
        <v>12457</v>
      </c>
      <c r="J4822" s="5">
        <v>545</v>
      </c>
    </row>
    <row r="4823" s="2" customFormat="1" spans="1:10">
      <c r="A4823" s="6">
        <f>4821</f>
        <v>4821</v>
      </c>
      <c r="B4823" s="6" t="s">
        <v>12458</v>
      </c>
      <c r="C4823" s="6" t="s">
        <v>12</v>
      </c>
      <c r="D4823" s="6" t="s">
        <v>11447</v>
      </c>
      <c r="E4823" s="6" t="s">
        <v>12339</v>
      </c>
      <c r="F4823" s="6" t="s">
        <v>12459</v>
      </c>
      <c r="G4823" s="6" t="s">
        <v>16</v>
      </c>
      <c r="H4823" s="5">
        <v>1</v>
      </c>
      <c r="I4823" s="6" t="s">
        <v>12459</v>
      </c>
      <c r="J4823" s="5">
        <v>440</v>
      </c>
    </row>
    <row r="4824" s="2" customFormat="1" spans="1:10">
      <c r="A4824" s="6">
        <f>4822</f>
        <v>4822</v>
      </c>
      <c r="B4824" s="6" t="s">
        <v>12460</v>
      </c>
      <c r="C4824" s="6" t="s">
        <v>12</v>
      </c>
      <c r="D4824" s="6" t="s">
        <v>11447</v>
      </c>
      <c r="E4824" s="6" t="s">
        <v>12339</v>
      </c>
      <c r="F4824" s="6" t="s">
        <v>12461</v>
      </c>
      <c r="G4824" s="6" t="s">
        <v>16</v>
      </c>
      <c r="H4824" s="5">
        <v>3</v>
      </c>
      <c r="I4824" s="6" t="s">
        <v>12462</v>
      </c>
      <c r="J4824" s="5">
        <v>580</v>
      </c>
    </row>
    <row r="4825" s="2" customFormat="1" spans="1:10">
      <c r="A4825" s="6">
        <f>4823</f>
        <v>4823</v>
      </c>
      <c r="B4825" s="6" t="s">
        <v>12463</v>
      </c>
      <c r="C4825" s="6" t="s">
        <v>12</v>
      </c>
      <c r="D4825" s="6" t="s">
        <v>11447</v>
      </c>
      <c r="E4825" s="6" t="s">
        <v>12339</v>
      </c>
      <c r="F4825" s="6" t="s">
        <v>12464</v>
      </c>
      <c r="G4825" s="6" t="s">
        <v>16</v>
      </c>
      <c r="H4825" s="5">
        <v>1</v>
      </c>
      <c r="I4825" s="6" t="s">
        <v>12464</v>
      </c>
      <c r="J4825" s="5">
        <v>360</v>
      </c>
    </row>
    <row r="4826" s="2" customFormat="1" ht="27" spans="1:10">
      <c r="A4826" s="6">
        <f>4824</f>
        <v>4824</v>
      </c>
      <c r="B4826" s="6" t="s">
        <v>12465</v>
      </c>
      <c r="C4826" s="6" t="s">
        <v>12</v>
      </c>
      <c r="D4826" s="6" t="s">
        <v>11447</v>
      </c>
      <c r="E4826" s="6" t="s">
        <v>12339</v>
      </c>
      <c r="F4826" s="6" t="s">
        <v>12466</v>
      </c>
      <c r="G4826" s="6" t="s">
        <v>16</v>
      </c>
      <c r="H4826" s="5">
        <v>4</v>
      </c>
      <c r="I4826" s="6" t="s">
        <v>12467</v>
      </c>
      <c r="J4826" s="5">
        <v>1130</v>
      </c>
    </row>
    <row r="4827" s="2" customFormat="1" spans="1:10">
      <c r="A4827" s="6">
        <f>4825</f>
        <v>4825</v>
      </c>
      <c r="B4827" s="6" t="s">
        <v>12468</v>
      </c>
      <c r="C4827" s="6" t="s">
        <v>12</v>
      </c>
      <c r="D4827" s="6" t="s">
        <v>11447</v>
      </c>
      <c r="E4827" s="6" t="s">
        <v>12339</v>
      </c>
      <c r="F4827" s="6" t="s">
        <v>12469</v>
      </c>
      <c r="G4827" s="6" t="s">
        <v>16</v>
      </c>
      <c r="H4827" s="5">
        <v>3</v>
      </c>
      <c r="I4827" s="6" t="s">
        <v>12470</v>
      </c>
      <c r="J4827" s="5">
        <v>1200</v>
      </c>
    </row>
    <row r="4828" s="2" customFormat="1" spans="1:10">
      <c r="A4828" s="6">
        <f>4826</f>
        <v>4826</v>
      </c>
      <c r="B4828" s="6" t="s">
        <v>12471</v>
      </c>
      <c r="C4828" s="6" t="s">
        <v>12</v>
      </c>
      <c r="D4828" s="6" t="s">
        <v>11447</v>
      </c>
      <c r="E4828" s="6" t="s">
        <v>12339</v>
      </c>
      <c r="F4828" s="6" t="s">
        <v>12472</v>
      </c>
      <c r="G4828" s="6" t="s">
        <v>16</v>
      </c>
      <c r="H4828" s="5">
        <v>2</v>
      </c>
      <c r="I4828" s="6" t="s">
        <v>12473</v>
      </c>
      <c r="J4828" s="5">
        <v>580</v>
      </c>
    </row>
    <row r="4829" s="2" customFormat="1" spans="1:10">
      <c r="A4829" s="6">
        <f>4827</f>
        <v>4827</v>
      </c>
      <c r="B4829" s="6" t="s">
        <v>12474</v>
      </c>
      <c r="C4829" s="6" t="s">
        <v>12</v>
      </c>
      <c r="D4829" s="6" t="s">
        <v>11447</v>
      </c>
      <c r="E4829" s="6" t="s">
        <v>12339</v>
      </c>
      <c r="F4829" s="6" t="s">
        <v>12475</v>
      </c>
      <c r="G4829" s="6" t="s">
        <v>16</v>
      </c>
      <c r="H4829" s="5">
        <v>1</v>
      </c>
      <c r="I4829" s="6" t="s">
        <v>12475</v>
      </c>
      <c r="J4829" s="5">
        <v>580</v>
      </c>
    </row>
    <row r="4830" s="2" customFormat="1" spans="1:10">
      <c r="A4830" s="6">
        <f>4828</f>
        <v>4828</v>
      </c>
      <c r="B4830" s="6" t="s">
        <v>12476</v>
      </c>
      <c r="C4830" s="6" t="s">
        <v>12</v>
      </c>
      <c r="D4830" s="6" t="s">
        <v>11447</v>
      </c>
      <c r="E4830" s="6" t="s">
        <v>12339</v>
      </c>
      <c r="F4830" s="6" t="s">
        <v>12477</v>
      </c>
      <c r="G4830" s="6" t="s">
        <v>16</v>
      </c>
      <c r="H4830" s="5">
        <v>1</v>
      </c>
      <c r="I4830" s="6" t="s">
        <v>12477</v>
      </c>
      <c r="J4830" s="5">
        <v>233</v>
      </c>
    </row>
    <row r="4831" s="2" customFormat="1" spans="1:10">
      <c r="A4831" s="6">
        <f>4829</f>
        <v>4829</v>
      </c>
      <c r="B4831" s="6" t="s">
        <v>12478</v>
      </c>
      <c r="C4831" s="6" t="s">
        <v>12</v>
      </c>
      <c r="D4831" s="6" t="s">
        <v>11447</v>
      </c>
      <c r="E4831" s="6" t="s">
        <v>12339</v>
      </c>
      <c r="F4831" s="6" t="s">
        <v>12479</v>
      </c>
      <c r="G4831" s="6" t="s">
        <v>16</v>
      </c>
      <c r="H4831" s="5">
        <v>2</v>
      </c>
      <c r="I4831" s="6" t="s">
        <v>12480</v>
      </c>
      <c r="J4831" s="5">
        <v>800</v>
      </c>
    </row>
    <row r="4832" s="2" customFormat="1" spans="1:10">
      <c r="A4832" s="6">
        <f>4830</f>
        <v>4830</v>
      </c>
      <c r="B4832" s="6" t="s">
        <v>12481</v>
      </c>
      <c r="C4832" s="6" t="s">
        <v>12</v>
      </c>
      <c r="D4832" s="6" t="s">
        <v>11447</v>
      </c>
      <c r="E4832" s="6" t="s">
        <v>12339</v>
      </c>
      <c r="F4832" s="6" t="s">
        <v>12482</v>
      </c>
      <c r="G4832" s="6" t="s">
        <v>16</v>
      </c>
      <c r="H4832" s="5">
        <v>3</v>
      </c>
      <c r="I4832" s="6" t="s">
        <v>12483</v>
      </c>
      <c r="J4832" s="5">
        <v>680</v>
      </c>
    </row>
    <row r="4833" s="2" customFormat="1" ht="27" spans="1:10">
      <c r="A4833" s="6">
        <f>4831</f>
        <v>4831</v>
      </c>
      <c r="B4833" s="6" t="s">
        <v>12484</v>
      </c>
      <c r="C4833" s="6" t="s">
        <v>12</v>
      </c>
      <c r="D4833" s="6" t="s">
        <v>11447</v>
      </c>
      <c r="E4833" s="6" t="s">
        <v>12339</v>
      </c>
      <c r="F4833" s="6" t="s">
        <v>12485</v>
      </c>
      <c r="G4833" s="6" t="s">
        <v>16</v>
      </c>
      <c r="H4833" s="5">
        <v>5</v>
      </c>
      <c r="I4833" s="6" t="s">
        <v>12486</v>
      </c>
      <c r="J4833" s="5">
        <v>1050</v>
      </c>
    </row>
    <row r="4834" s="2" customFormat="1" spans="1:10">
      <c r="A4834" s="6">
        <f>4832</f>
        <v>4832</v>
      </c>
      <c r="B4834" s="6" t="s">
        <v>12487</v>
      </c>
      <c r="C4834" s="6" t="s">
        <v>12</v>
      </c>
      <c r="D4834" s="6" t="s">
        <v>11447</v>
      </c>
      <c r="E4834" s="6" t="s">
        <v>12339</v>
      </c>
      <c r="F4834" s="6" t="s">
        <v>12488</v>
      </c>
      <c r="G4834" s="6" t="s">
        <v>16</v>
      </c>
      <c r="H4834" s="5">
        <v>2</v>
      </c>
      <c r="I4834" s="6" t="s">
        <v>12489</v>
      </c>
      <c r="J4834" s="5">
        <v>750</v>
      </c>
    </row>
    <row r="4835" s="2" customFormat="1" spans="1:10">
      <c r="A4835" s="6">
        <f>4833</f>
        <v>4833</v>
      </c>
      <c r="B4835" s="6" t="s">
        <v>12490</v>
      </c>
      <c r="C4835" s="6" t="s">
        <v>12</v>
      </c>
      <c r="D4835" s="6" t="s">
        <v>11447</v>
      </c>
      <c r="E4835" s="6" t="s">
        <v>12339</v>
      </c>
      <c r="F4835" s="6" t="s">
        <v>12491</v>
      </c>
      <c r="G4835" s="6" t="s">
        <v>16</v>
      </c>
      <c r="H4835" s="5">
        <v>1</v>
      </c>
      <c r="I4835" s="6" t="s">
        <v>12491</v>
      </c>
      <c r="J4835" s="5">
        <v>238</v>
      </c>
    </row>
    <row r="4836" s="2" customFormat="1" spans="1:10">
      <c r="A4836" s="6">
        <f>4834</f>
        <v>4834</v>
      </c>
      <c r="B4836" s="6" t="s">
        <v>12492</v>
      </c>
      <c r="C4836" s="6" t="s">
        <v>12</v>
      </c>
      <c r="D4836" s="6" t="s">
        <v>11447</v>
      </c>
      <c r="E4836" s="6" t="s">
        <v>12339</v>
      </c>
      <c r="F4836" s="6" t="s">
        <v>12493</v>
      </c>
      <c r="G4836" s="6" t="s">
        <v>16</v>
      </c>
      <c r="H4836" s="5">
        <v>1</v>
      </c>
      <c r="I4836" s="6" t="s">
        <v>12493</v>
      </c>
      <c r="J4836" s="5">
        <v>280</v>
      </c>
    </row>
    <row r="4837" s="2" customFormat="1" spans="1:10">
      <c r="A4837" s="6">
        <f>4835</f>
        <v>4835</v>
      </c>
      <c r="B4837" s="6" t="s">
        <v>12494</v>
      </c>
      <c r="C4837" s="6" t="s">
        <v>12</v>
      </c>
      <c r="D4837" s="6" t="s">
        <v>11447</v>
      </c>
      <c r="E4837" s="6" t="s">
        <v>12339</v>
      </c>
      <c r="F4837" s="6" t="s">
        <v>12495</v>
      </c>
      <c r="G4837" s="6" t="s">
        <v>16</v>
      </c>
      <c r="H4837" s="5">
        <v>1</v>
      </c>
      <c r="I4837" s="6" t="s">
        <v>12495</v>
      </c>
      <c r="J4837" s="5">
        <v>560</v>
      </c>
    </row>
    <row r="4838" s="2" customFormat="1" spans="1:10">
      <c r="A4838" s="6">
        <f>4836</f>
        <v>4836</v>
      </c>
      <c r="B4838" s="6" t="s">
        <v>12496</v>
      </c>
      <c r="C4838" s="6" t="s">
        <v>12</v>
      </c>
      <c r="D4838" s="6" t="s">
        <v>11447</v>
      </c>
      <c r="E4838" s="6" t="s">
        <v>12339</v>
      </c>
      <c r="F4838" s="6" t="s">
        <v>12497</v>
      </c>
      <c r="G4838" s="6" t="s">
        <v>16</v>
      </c>
      <c r="H4838" s="5">
        <v>1</v>
      </c>
      <c r="I4838" s="6" t="s">
        <v>12497</v>
      </c>
      <c r="J4838" s="5">
        <v>550</v>
      </c>
    </row>
    <row r="4839" s="2" customFormat="1" spans="1:10">
      <c r="A4839" s="6">
        <f>4837</f>
        <v>4837</v>
      </c>
      <c r="B4839" s="6" t="s">
        <v>12498</v>
      </c>
      <c r="C4839" s="6" t="s">
        <v>12</v>
      </c>
      <c r="D4839" s="6" t="s">
        <v>11447</v>
      </c>
      <c r="E4839" s="6" t="s">
        <v>12339</v>
      </c>
      <c r="F4839" s="6" t="s">
        <v>12499</v>
      </c>
      <c r="G4839" s="6" t="s">
        <v>16</v>
      </c>
      <c r="H4839" s="5">
        <v>1</v>
      </c>
      <c r="I4839" s="6" t="s">
        <v>12499</v>
      </c>
      <c r="J4839" s="5">
        <v>260</v>
      </c>
    </row>
    <row r="4840" s="2" customFormat="1" spans="1:10">
      <c r="A4840" s="6">
        <f>4838</f>
        <v>4838</v>
      </c>
      <c r="B4840" s="6" t="s">
        <v>12500</v>
      </c>
      <c r="C4840" s="6" t="s">
        <v>12</v>
      </c>
      <c r="D4840" s="6" t="s">
        <v>11447</v>
      </c>
      <c r="E4840" s="6" t="s">
        <v>12339</v>
      </c>
      <c r="F4840" s="6" t="s">
        <v>12501</v>
      </c>
      <c r="G4840" s="6" t="s">
        <v>16</v>
      </c>
      <c r="H4840" s="5">
        <v>1</v>
      </c>
      <c r="I4840" s="6" t="s">
        <v>12501</v>
      </c>
      <c r="J4840" s="5">
        <v>297</v>
      </c>
    </row>
    <row r="4841" s="2" customFormat="1" spans="1:10">
      <c r="A4841" s="6">
        <f>4839</f>
        <v>4839</v>
      </c>
      <c r="B4841" s="6" t="s">
        <v>12502</v>
      </c>
      <c r="C4841" s="6" t="s">
        <v>12</v>
      </c>
      <c r="D4841" s="6" t="s">
        <v>11447</v>
      </c>
      <c r="E4841" s="6" t="s">
        <v>12339</v>
      </c>
      <c r="F4841" s="6" t="s">
        <v>12503</v>
      </c>
      <c r="G4841" s="6" t="s">
        <v>16</v>
      </c>
      <c r="H4841" s="5">
        <v>1</v>
      </c>
      <c r="I4841" s="6" t="s">
        <v>12503</v>
      </c>
      <c r="J4841" s="5">
        <v>500</v>
      </c>
    </row>
    <row r="4842" s="2" customFormat="1" spans="1:10">
      <c r="A4842" s="6">
        <f>4840</f>
        <v>4840</v>
      </c>
      <c r="B4842" s="6" t="s">
        <v>12504</v>
      </c>
      <c r="C4842" s="6" t="s">
        <v>12</v>
      </c>
      <c r="D4842" s="6" t="s">
        <v>11447</v>
      </c>
      <c r="E4842" s="6" t="s">
        <v>12505</v>
      </c>
      <c r="F4842" s="6" t="s">
        <v>12506</v>
      </c>
      <c r="G4842" s="6" t="s">
        <v>16</v>
      </c>
      <c r="H4842" s="5">
        <v>1</v>
      </c>
      <c r="I4842" s="6" t="s">
        <v>12506</v>
      </c>
      <c r="J4842" s="5">
        <v>620</v>
      </c>
    </row>
    <row r="4843" s="2" customFormat="1" spans="1:10">
      <c r="A4843" s="6">
        <f>4841</f>
        <v>4841</v>
      </c>
      <c r="B4843" s="6" t="s">
        <v>12507</v>
      </c>
      <c r="C4843" s="6" t="s">
        <v>12</v>
      </c>
      <c r="D4843" s="6" t="s">
        <v>11447</v>
      </c>
      <c r="E4843" s="6" t="s">
        <v>12505</v>
      </c>
      <c r="F4843" s="6" t="s">
        <v>12508</v>
      </c>
      <c r="G4843" s="6" t="s">
        <v>16</v>
      </c>
      <c r="H4843" s="5">
        <v>2</v>
      </c>
      <c r="I4843" s="6" t="s">
        <v>12509</v>
      </c>
      <c r="J4843" s="5">
        <v>880</v>
      </c>
    </row>
    <row r="4844" s="2" customFormat="1" ht="27" spans="1:10">
      <c r="A4844" s="6">
        <f>4842</f>
        <v>4842</v>
      </c>
      <c r="B4844" s="6" t="s">
        <v>12510</v>
      </c>
      <c r="C4844" s="6" t="s">
        <v>12</v>
      </c>
      <c r="D4844" s="6" t="s">
        <v>11447</v>
      </c>
      <c r="E4844" s="6" t="s">
        <v>12505</v>
      </c>
      <c r="F4844" s="6" t="s">
        <v>12511</v>
      </c>
      <c r="G4844" s="6" t="s">
        <v>16</v>
      </c>
      <c r="H4844" s="5">
        <v>5</v>
      </c>
      <c r="I4844" s="6" t="s">
        <v>12512</v>
      </c>
      <c r="J4844" s="5">
        <v>1250</v>
      </c>
    </row>
    <row r="4845" s="2" customFormat="1" spans="1:10">
      <c r="A4845" s="6">
        <f>4843</f>
        <v>4843</v>
      </c>
      <c r="B4845" s="6" t="s">
        <v>12513</v>
      </c>
      <c r="C4845" s="6" t="s">
        <v>12</v>
      </c>
      <c r="D4845" s="6" t="s">
        <v>11447</v>
      </c>
      <c r="E4845" s="6" t="s">
        <v>12505</v>
      </c>
      <c r="F4845" s="6" t="s">
        <v>12514</v>
      </c>
      <c r="G4845" s="6" t="s">
        <v>16</v>
      </c>
      <c r="H4845" s="5">
        <v>1</v>
      </c>
      <c r="I4845" s="6" t="s">
        <v>12514</v>
      </c>
      <c r="J4845" s="5">
        <v>510</v>
      </c>
    </row>
    <row r="4846" s="2" customFormat="1" ht="27" spans="1:10">
      <c r="A4846" s="6">
        <f>4844</f>
        <v>4844</v>
      </c>
      <c r="B4846" s="6" t="s">
        <v>12515</v>
      </c>
      <c r="C4846" s="6" t="s">
        <v>12</v>
      </c>
      <c r="D4846" s="6" t="s">
        <v>11447</v>
      </c>
      <c r="E4846" s="6" t="s">
        <v>12505</v>
      </c>
      <c r="F4846" s="6" t="s">
        <v>12516</v>
      </c>
      <c r="G4846" s="6" t="s">
        <v>16</v>
      </c>
      <c r="H4846" s="5">
        <v>6</v>
      </c>
      <c r="I4846" s="6" t="s">
        <v>12517</v>
      </c>
      <c r="J4846" s="5">
        <v>1500</v>
      </c>
    </row>
    <row r="4847" s="2" customFormat="1" ht="27" spans="1:10">
      <c r="A4847" s="6">
        <f>4845</f>
        <v>4845</v>
      </c>
      <c r="B4847" s="6" t="s">
        <v>12518</v>
      </c>
      <c r="C4847" s="6" t="s">
        <v>12</v>
      </c>
      <c r="D4847" s="6" t="s">
        <v>11447</v>
      </c>
      <c r="E4847" s="6" t="s">
        <v>12505</v>
      </c>
      <c r="F4847" s="6" t="s">
        <v>12519</v>
      </c>
      <c r="G4847" s="6" t="s">
        <v>16</v>
      </c>
      <c r="H4847" s="5">
        <v>4</v>
      </c>
      <c r="I4847" s="6" t="s">
        <v>12520</v>
      </c>
      <c r="J4847" s="5">
        <v>1440</v>
      </c>
    </row>
    <row r="4848" s="2" customFormat="1" spans="1:10">
      <c r="A4848" s="6">
        <f>4846</f>
        <v>4846</v>
      </c>
      <c r="B4848" s="6" t="s">
        <v>12521</v>
      </c>
      <c r="C4848" s="6" t="s">
        <v>12</v>
      </c>
      <c r="D4848" s="6" t="s">
        <v>11447</v>
      </c>
      <c r="E4848" s="6" t="s">
        <v>12505</v>
      </c>
      <c r="F4848" s="6" t="s">
        <v>12522</v>
      </c>
      <c r="G4848" s="6" t="s">
        <v>16</v>
      </c>
      <c r="H4848" s="5">
        <v>2</v>
      </c>
      <c r="I4848" s="6" t="s">
        <v>12523</v>
      </c>
      <c r="J4848" s="5">
        <v>840</v>
      </c>
    </row>
    <row r="4849" s="2" customFormat="1" spans="1:10">
      <c r="A4849" s="6">
        <f>4847</f>
        <v>4847</v>
      </c>
      <c r="B4849" s="6" t="s">
        <v>12524</v>
      </c>
      <c r="C4849" s="6" t="s">
        <v>12</v>
      </c>
      <c r="D4849" s="6" t="s">
        <v>11447</v>
      </c>
      <c r="E4849" s="6" t="s">
        <v>12505</v>
      </c>
      <c r="F4849" s="6" t="s">
        <v>5536</v>
      </c>
      <c r="G4849" s="6" t="s">
        <v>16</v>
      </c>
      <c r="H4849" s="5">
        <v>1</v>
      </c>
      <c r="I4849" s="6" t="s">
        <v>5536</v>
      </c>
      <c r="J4849" s="5">
        <v>297</v>
      </c>
    </row>
    <row r="4850" s="2" customFormat="1" spans="1:10">
      <c r="A4850" s="6">
        <f>4848</f>
        <v>4848</v>
      </c>
      <c r="B4850" s="6" t="s">
        <v>12525</v>
      </c>
      <c r="C4850" s="6" t="s">
        <v>12</v>
      </c>
      <c r="D4850" s="6" t="s">
        <v>11447</v>
      </c>
      <c r="E4850" s="6" t="s">
        <v>12505</v>
      </c>
      <c r="F4850" s="6" t="s">
        <v>12526</v>
      </c>
      <c r="G4850" s="6" t="s">
        <v>16</v>
      </c>
      <c r="H4850" s="5">
        <v>1</v>
      </c>
      <c r="I4850" s="6" t="s">
        <v>12526</v>
      </c>
      <c r="J4850" s="5">
        <v>253</v>
      </c>
    </row>
    <row r="4851" s="2" customFormat="1" spans="1:10">
      <c r="A4851" s="6">
        <f>4849</f>
        <v>4849</v>
      </c>
      <c r="B4851" s="6" t="s">
        <v>12527</v>
      </c>
      <c r="C4851" s="6" t="s">
        <v>12</v>
      </c>
      <c r="D4851" s="6" t="s">
        <v>11447</v>
      </c>
      <c r="E4851" s="6" t="s">
        <v>12505</v>
      </c>
      <c r="F4851" s="6" t="s">
        <v>12528</v>
      </c>
      <c r="G4851" s="6" t="s">
        <v>16</v>
      </c>
      <c r="H4851" s="5">
        <v>2</v>
      </c>
      <c r="I4851" s="6" t="s">
        <v>12529</v>
      </c>
      <c r="J4851" s="5">
        <v>360</v>
      </c>
    </row>
    <row r="4852" s="2" customFormat="1" spans="1:10">
      <c r="A4852" s="6">
        <f>4850</f>
        <v>4850</v>
      </c>
      <c r="B4852" s="6" t="s">
        <v>12530</v>
      </c>
      <c r="C4852" s="6" t="s">
        <v>12</v>
      </c>
      <c r="D4852" s="6" t="s">
        <v>11447</v>
      </c>
      <c r="E4852" s="6" t="s">
        <v>12505</v>
      </c>
      <c r="F4852" s="6" t="s">
        <v>12531</v>
      </c>
      <c r="G4852" s="6" t="s">
        <v>16</v>
      </c>
      <c r="H4852" s="5">
        <v>1</v>
      </c>
      <c r="I4852" s="6" t="s">
        <v>12531</v>
      </c>
      <c r="J4852" s="5">
        <v>237</v>
      </c>
    </row>
    <row r="4853" s="2" customFormat="1" spans="1:10">
      <c r="A4853" s="6">
        <f>4851</f>
        <v>4851</v>
      </c>
      <c r="B4853" s="6" t="s">
        <v>12532</v>
      </c>
      <c r="C4853" s="6" t="s">
        <v>12</v>
      </c>
      <c r="D4853" s="6" t="s">
        <v>11447</v>
      </c>
      <c r="E4853" s="6" t="s">
        <v>12505</v>
      </c>
      <c r="F4853" s="6" t="s">
        <v>12533</v>
      </c>
      <c r="G4853" s="6" t="s">
        <v>16</v>
      </c>
      <c r="H4853" s="5">
        <v>1</v>
      </c>
      <c r="I4853" s="6" t="s">
        <v>12533</v>
      </c>
      <c r="J4853" s="5">
        <v>275</v>
      </c>
    </row>
    <row r="4854" s="2" customFormat="1" ht="27" spans="1:10">
      <c r="A4854" s="6">
        <f>4852</f>
        <v>4852</v>
      </c>
      <c r="B4854" s="6" t="s">
        <v>12534</v>
      </c>
      <c r="C4854" s="6" t="s">
        <v>12</v>
      </c>
      <c r="D4854" s="6" t="s">
        <v>11447</v>
      </c>
      <c r="E4854" s="6" t="s">
        <v>12505</v>
      </c>
      <c r="F4854" s="6" t="s">
        <v>12535</v>
      </c>
      <c r="G4854" s="6" t="s">
        <v>16</v>
      </c>
      <c r="H4854" s="5">
        <v>5</v>
      </c>
      <c r="I4854" s="6" t="s">
        <v>12536</v>
      </c>
      <c r="J4854" s="5">
        <v>1260</v>
      </c>
    </row>
    <row r="4855" s="2" customFormat="1" spans="1:10">
      <c r="A4855" s="6">
        <f>4853</f>
        <v>4853</v>
      </c>
      <c r="B4855" s="6" t="s">
        <v>12537</v>
      </c>
      <c r="C4855" s="6" t="s">
        <v>12</v>
      </c>
      <c r="D4855" s="6" t="s">
        <v>11447</v>
      </c>
      <c r="E4855" s="6" t="s">
        <v>12505</v>
      </c>
      <c r="F4855" s="6" t="s">
        <v>12538</v>
      </c>
      <c r="G4855" s="6" t="s">
        <v>16</v>
      </c>
      <c r="H4855" s="5">
        <v>1</v>
      </c>
      <c r="I4855" s="6" t="s">
        <v>12538</v>
      </c>
      <c r="J4855" s="5">
        <v>208</v>
      </c>
    </row>
    <row r="4856" s="2" customFormat="1" spans="1:10">
      <c r="A4856" s="6">
        <f>4854</f>
        <v>4854</v>
      </c>
      <c r="B4856" s="6" t="s">
        <v>12539</v>
      </c>
      <c r="C4856" s="6" t="s">
        <v>12</v>
      </c>
      <c r="D4856" s="6" t="s">
        <v>11447</v>
      </c>
      <c r="E4856" s="6" t="s">
        <v>12505</v>
      </c>
      <c r="F4856" s="6" t="s">
        <v>12540</v>
      </c>
      <c r="G4856" s="6" t="s">
        <v>16</v>
      </c>
      <c r="H4856" s="5">
        <v>1</v>
      </c>
      <c r="I4856" s="6" t="s">
        <v>12540</v>
      </c>
      <c r="J4856" s="5">
        <v>230</v>
      </c>
    </row>
    <row r="4857" s="2" customFormat="1" spans="1:10">
      <c r="A4857" s="6">
        <f>4855</f>
        <v>4855</v>
      </c>
      <c r="B4857" s="6" t="s">
        <v>12541</v>
      </c>
      <c r="C4857" s="6" t="s">
        <v>12</v>
      </c>
      <c r="D4857" s="6" t="s">
        <v>11447</v>
      </c>
      <c r="E4857" s="6" t="s">
        <v>12505</v>
      </c>
      <c r="F4857" s="6" t="s">
        <v>12542</v>
      </c>
      <c r="G4857" s="6" t="s">
        <v>16</v>
      </c>
      <c r="H4857" s="5">
        <v>1</v>
      </c>
      <c r="I4857" s="6" t="s">
        <v>12542</v>
      </c>
      <c r="J4857" s="5">
        <v>540</v>
      </c>
    </row>
    <row r="4858" s="2" customFormat="1" spans="1:10">
      <c r="A4858" s="6">
        <f>4856</f>
        <v>4856</v>
      </c>
      <c r="B4858" s="6" t="s">
        <v>12543</v>
      </c>
      <c r="C4858" s="6" t="s">
        <v>12</v>
      </c>
      <c r="D4858" s="6" t="s">
        <v>11447</v>
      </c>
      <c r="E4858" s="6" t="s">
        <v>12505</v>
      </c>
      <c r="F4858" s="6" t="s">
        <v>12544</v>
      </c>
      <c r="G4858" s="6" t="s">
        <v>16</v>
      </c>
      <c r="H4858" s="5">
        <v>3</v>
      </c>
      <c r="I4858" s="6" t="s">
        <v>12545</v>
      </c>
      <c r="J4858" s="5">
        <v>1160</v>
      </c>
    </row>
    <row r="4859" s="2" customFormat="1" spans="1:10">
      <c r="A4859" s="6">
        <f>4857</f>
        <v>4857</v>
      </c>
      <c r="B4859" s="6" t="s">
        <v>12546</v>
      </c>
      <c r="C4859" s="6" t="s">
        <v>12</v>
      </c>
      <c r="D4859" s="6" t="s">
        <v>11447</v>
      </c>
      <c r="E4859" s="6" t="s">
        <v>12505</v>
      </c>
      <c r="F4859" s="6" t="s">
        <v>12547</v>
      </c>
      <c r="G4859" s="6" t="s">
        <v>16</v>
      </c>
      <c r="H4859" s="5">
        <v>1</v>
      </c>
      <c r="I4859" s="6" t="s">
        <v>12547</v>
      </c>
      <c r="J4859" s="5">
        <v>205</v>
      </c>
    </row>
    <row r="4860" s="2" customFormat="1" spans="1:10">
      <c r="A4860" s="6">
        <f>4858</f>
        <v>4858</v>
      </c>
      <c r="B4860" s="6" t="s">
        <v>12548</v>
      </c>
      <c r="C4860" s="6" t="s">
        <v>12</v>
      </c>
      <c r="D4860" s="6" t="s">
        <v>11447</v>
      </c>
      <c r="E4860" s="6" t="s">
        <v>12505</v>
      </c>
      <c r="F4860" s="6" t="s">
        <v>12549</v>
      </c>
      <c r="G4860" s="6" t="s">
        <v>16</v>
      </c>
      <c r="H4860" s="5">
        <v>3</v>
      </c>
      <c r="I4860" s="6" t="s">
        <v>12550</v>
      </c>
      <c r="J4860" s="5">
        <v>1380</v>
      </c>
    </row>
    <row r="4861" s="2" customFormat="1" ht="27" spans="1:10">
      <c r="A4861" s="6">
        <f>4859</f>
        <v>4859</v>
      </c>
      <c r="B4861" s="6" t="s">
        <v>12551</v>
      </c>
      <c r="C4861" s="6" t="s">
        <v>12</v>
      </c>
      <c r="D4861" s="6" t="s">
        <v>11447</v>
      </c>
      <c r="E4861" s="6" t="s">
        <v>12505</v>
      </c>
      <c r="F4861" s="6" t="s">
        <v>12552</v>
      </c>
      <c r="G4861" s="6" t="s">
        <v>16</v>
      </c>
      <c r="H4861" s="5">
        <v>4</v>
      </c>
      <c r="I4861" s="6" t="s">
        <v>12553</v>
      </c>
      <c r="J4861" s="5">
        <v>762</v>
      </c>
    </row>
    <row r="4862" s="2" customFormat="1" ht="27" spans="1:10">
      <c r="A4862" s="6">
        <f>4860</f>
        <v>4860</v>
      </c>
      <c r="B4862" s="6" t="s">
        <v>12554</v>
      </c>
      <c r="C4862" s="6" t="s">
        <v>12</v>
      </c>
      <c r="D4862" s="6" t="s">
        <v>11447</v>
      </c>
      <c r="E4862" s="6" t="s">
        <v>12505</v>
      </c>
      <c r="F4862" s="6" t="s">
        <v>12555</v>
      </c>
      <c r="G4862" s="6" t="s">
        <v>16</v>
      </c>
      <c r="H4862" s="5">
        <v>4</v>
      </c>
      <c r="I4862" s="6" t="s">
        <v>12556</v>
      </c>
      <c r="J4862" s="5">
        <v>944</v>
      </c>
    </row>
    <row r="4863" s="2" customFormat="1" spans="1:10">
      <c r="A4863" s="6">
        <f>4861</f>
        <v>4861</v>
      </c>
      <c r="B4863" s="6" t="s">
        <v>12557</v>
      </c>
      <c r="C4863" s="6" t="s">
        <v>12</v>
      </c>
      <c r="D4863" s="6" t="s">
        <v>11447</v>
      </c>
      <c r="E4863" s="6" t="s">
        <v>12505</v>
      </c>
      <c r="F4863" s="6" t="s">
        <v>12558</v>
      </c>
      <c r="G4863" s="6" t="s">
        <v>16</v>
      </c>
      <c r="H4863" s="5">
        <v>1</v>
      </c>
      <c r="I4863" s="6" t="s">
        <v>12558</v>
      </c>
      <c r="J4863" s="5">
        <v>510</v>
      </c>
    </row>
    <row r="4864" s="2" customFormat="1" ht="27" spans="1:10">
      <c r="A4864" s="6">
        <f>4862</f>
        <v>4862</v>
      </c>
      <c r="B4864" s="6" t="s">
        <v>12559</v>
      </c>
      <c r="C4864" s="6" t="s">
        <v>12</v>
      </c>
      <c r="D4864" s="6" t="s">
        <v>11447</v>
      </c>
      <c r="E4864" s="6" t="s">
        <v>12505</v>
      </c>
      <c r="F4864" s="6" t="s">
        <v>12560</v>
      </c>
      <c r="G4864" s="6" t="s">
        <v>16</v>
      </c>
      <c r="H4864" s="5">
        <v>4</v>
      </c>
      <c r="I4864" s="6" t="s">
        <v>12561</v>
      </c>
      <c r="J4864" s="5">
        <v>1060</v>
      </c>
    </row>
    <row r="4865" s="2" customFormat="1" spans="1:10">
      <c r="A4865" s="6">
        <f>4863</f>
        <v>4863</v>
      </c>
      <c r="B4865" s="6" t="s">
        <v>12562</v>
      </c>
      <c r="C4865" s="6" t="s">
        <v>12</v>
      </c>
      <c r="D4865" s="6" t="s">
        <v>11447</v>
      </c>
      <c r="E4865" s="6" t="s">
        <v>12505</v>
      </c>
      <c r="F4865" s="6" t="s">
        <v>12563</v>
      </c>
      <c r="G4865" s="6" t="s">
        <v>16</v>
      </c>
      <c r="H4865" s="5">
        <v>2</v>
      </c>
      <c r="I4865" s="6" t="s">
        <v>12564</v>
      </c>
      <c r="J4865" s="5">
        <v>505</v>
      </c>
    </row>
    <row r="4866" s="2" customFormat="1" spans="1:10">
      <c r="A4866" s="6">
        <f>4864</f>
        <v>4864</v>
      </c>
      <c r="B4866" s="6" t="s">
        <v>12565</v>
      </c>
      <c r="C4866" s="6" t="s">
        <v>12</v>
      </c>
      <c r="D4866" s="6" t="s">
        <v>11447</v>
      </c>
      <c r="E4866" s="6" t="s">
        <v>12505</v>
      </c>
      <c r="F4866" s="6" t="s">
        <v>12566</v>
      </c>
      <c r="G4866" s="6" t="s">
        <v>16</v>
      </c>
      <c r="H4866" s="5">
        <v>3</v>
      </c>
      <c r="I4866" s="6" t="s">
        <v>12567</v>
      </c>
      <c r="J4866" s="5">
        <v>573</v>
      </c>
    </row>
    <row r="4867" s="2" customFormat="1" spans="1:10">
      <c r="A4867" s="6">
        <f>4865</f>
        <v>4865</v>
      </c>
      <c r="B4867" s="6" t="s">
        <v>12568</v>
      </c>
      <c r="C4867" s="6" t="s">
        <v>12</v>
      </c>
      <c r="D4867" s="6" t="s">
        <v>11447</v>
      </c>
      <c r="E4867" s="6" t="s">
        <v>12505</v>
      </c>
      <c r="F4867" s="6" t="s">
        <v>12569</v>
      </c>
      <c r="G4867" s="6" t="s">
        <v>16</v>
      </c>
      <c r="H4867" s="5">
        <v>1</v>
      </c>
      <c r="I4867" s="6" t="s">
        <v>12569</v>
      </c>
      <c r="J4867" s="5">
        <v>360</v>
      </c>
    </row>
    <row r="4868" s="2" customFormat="1" spans="1:10">
      <c r="A4868" s="6">
        <f>4866</f>
        <v>4866</v>
      </c>
      <c r="B4868" s="6" t="s">
        <v>12570</v>
      </c>
      <c r="C4868" s="6" t="s">
        <v>12</v>
      </c>
      <c r="D4868" s="6" t="s">
        <v>11447</v>
      </c>
      <c r="E4868" s="6" t="s">
        <v>12505</v>
      </c>
      <c r="F4868" s="6" t="s">
        <v>12571</v>
      </c>
      <c r="G4868" s="6" t="s">
        <v>16</v>
      </c>
      <c r="H4868" s="5">
        <v>1</v>
      </c>
      <c r="I4868" s="6" t="s">
        <v>12571</v>
      </c>
      <c r="J4868" s="5">
        <v>265</v>
      </c>
    </row>
    <row r="4869" s="2" customFormat="1" spans="1:10">
      <c r="A4869" s="6">
        <f>4867</f>
        <v>4867</v>
      </c>
      <c r="B4869" s="6" t="s">
        <v>12572</v>
      </c>
      <c r="C4869" s="6" t="s">
        <v>12</v>
      </c>
      <c r="D4869" s="6" t="s">
        <v>11447</v>
      </c>
      <c r="E4869" s="6" t="s">
        <v>12505</v>
      </c>
      <c r="F4869" s="6" t="s">
        <v>12573</v>
      </c>
      <c r="G4869" s="6" t="s">
        <v>16</v>
      </c>
      <c r="H4869" s="5">
        <v>1</v>
      </c>
      <c r="I4869" s="6" t="s">
        <v>12573</v>
      </c>
      <c r="J4869" s="5">
        <v>228</v>
      </c>
    </row>
    <row r="4870" s="2" customFormat="1" spans="1:10">
      <c r="A4870" s="6">
        <f>4868</f>
        <v>4868</v>
      </c>
      <c r="B4870" s="6" t="s">
        <v>12574</v>
      </c>
      <c r="C4870" s="6" t="s">
        <v>12</v>
      </c>
      <c r="D4870" s="6" t="s">
        <v>11447</v>
      </c>
      <c r="E4870" s="6" t="s">
        <v>12505</v>
      </c>
      <c r="F4870" s="6" t="s">
        <v>12575</v>
      </c>
      <c r="G4870" s="6" t="s">
        <v>16</v>
      </c>
      <c r="H4870" s="5">
        <v>1</v>
      </c>
      <c r="I4870" s="6" t="s">
        <v>12575</v>
      </c>
      <c r="J4870" s="5">
        <v>278</v>
      </c>
    </row>
    <row r="4871" s="2" customFormat="1" spans="1:10">
      <c r="A4871" s="6">
        <f>4869</f>
        <v>4869</v>
      </c>
      <c r="B4871" s="6" t="s">
        <v>12576</v>
      </c>
      <c r="C4871" s="6" t="s">
        <v>12</v>
      </c>
      <c r="D4871" s="6" t="s">
        <v>11447</v>
      </c>
      <c r="E4871" s="6" t="s">
        <v>12505</v>
      </c>
      <c r="F4871" s="6" t="s">
        <v>12577</v>
      </c>
      <c r="G4871" s="6" t="s">
        <v>16</v>
      </c>
      <c r="H4871" s="5">
        <v>2</v>
      </c>
      <c r="I4871" s="6" t="s">
        <v>12578</v>
      </c>
      <c r="J4871" s="5">
        <v>641</v>
      </c>
    </row>
    <row r="4872" s="2" customFormat="1" spans="1:10">
      <c r="A4872" s="6">
        <f>4870</f>
        <v>4870</v>
      </c>
      <c r="B4872" s="6" t="s">
        <v>12579</v>
      </c>
      <c r="C4872" s="6" t="s">
        <v>12</v>
      </c>
      <c r="D4872" s="6" t="s">
        <v>11447</v>
      </c>
      <c r="E4872" s="6" t="s">
        <v>12505</v>
      </c>
      <c r="F4872" s="6" t="s">
        <v>12580</v>
      </c>
      <c r="G4872" s="6" t="s">
        <v>16</v>
      </c>
      <c r="H4872" s="5">
        <v>2</v>
      </c>
      <c r="I4872" s="6" t="s">
        <v>12581</v>
      </c>
      <c r="J4872" s="5">
        <v>630</v>
      </c>
    </row>
    <row r="4873" s="2" customFormat="1" spans="1:10">
      <c r="A4873" s="6">
        <f>4871</f>
        <v>4871</v>
      </c>
      <c r="B4873" s="6" t="s">
        <v>12582</v>
      </c>
      <c r="C4873" s="6" t="s">
        <v>12</v>
      </c>
      <c r="D4873" s="6" t="s">
        <v>11447</v>
      </c>
      <c r="E4873" s="6" t="s">
        <v>12505</v>
      </c>
      <c r="F4873" s="6" t="s">
        <v>12583</v>
      </c>
      <c r="G4873" s="6" t="s">
        <v>16</v>
      </c>
      <c r="H4873" s="5">
        <v>1</v>
      </c>
      <c r="I4873" s="6" t="s">
        <v>12583</v>
      </c>
      <c r="J4873" s="5">
        <v>297</v>
      </c>
    </row>
    <row r="4874" s="2" customFormat="1" spans="1:10">
      <c r="A4874" s="6">
        <f>4872</f>
        <v>4872</v>
      </c>
      <c r="B4874" s="6" t="s">
        <v>12584</v>
      </c>
      <c r="C4874" s="6" t="s">
        <v>12</v>
      </c>
      <c r="D4874" s="6" t="s">
        <v>11447</v>
      </c>
      <c r="E4874" s="6" t="s">
        <v>12505</v>
      </c>
      <c r="F4874" s="6" t="s">
        <v>12585</v>
      </c>
      <c r="G4874" s="6" t="s">
        <v>16</v>
      </c>
      <c r="H4874" s="5">
        <v>1</v>
      </c>
      <c r="I4874" s="6" t="s">
        <v>12585</v>
      </c>
      <c r="J4874" s="5">
        <v>265</v>
      </c>
    </row>
    <row r="4875" s="2" customFormat="1" spans="1:10">
      <c r="A4875" s="6">
        <f>4873</f>
        <v>4873</v>
      </c>
      <c r="B4875" s="6" t="s">
        <v>12586</v>
      </c>
      <c r="C4875" s="6" t="s">
        <v>12</v>
      </c>
      <c r="D4875" s="6" t="s">
        <v>11447</v>
      </c>
      <c r="E4875" s="6" t="s">
        <v>12505</v>
      </c>
      <c r="F4875" s="6" t="s">
        <v>12587</v>
      </c>
      <c r="G4875" s="6" t="s">
        <v>16</v>
      </c>
      <c r="H4875" s="5">
        <v>1</v>
      </c>
      <c r="I4875" s="6" t="s">
        <v>12587</v>
      </c>
      <c r="J4875" s="5">
        <v>255</v>
      </c>
    </row>
    <row r="4876" s="2" customFormat="1" spans="1:10">
      <c r="A4876" s="6">
        <f>4874</f>
        <v>4874</v>
      </c>
      <c r="B4876" s="6" t="s">
        <v>12588</v>
      </c>
      <c r="C4876" s="6" t="s">
        <v>12</v>
      </c>
      <c r="D4876" s="6" t="s">
        <v>11447</v>
      </c>
      <c r="E4876" s="6" t="s">
        <v>12505</v>
      </c>
      <c r="F4876" s="6" t="s">
        <v>4370</v>
      </c>
      <c r="G4876" s="6" t="s">
        <v>16</v>
      </c>
      <c r="H4876" s="5">
        <v>2</v>
      </c>
      <c r="I4876" s="6" t="s">
        <v>12589</v>
      </c>
      <c r="J4876" s="5">
        <v>680</v>
      </c>
    </row>
    <row r="4877" s="2" customFormat="1" spans="1:10">
      <c r="A4877" s="6">
        <f>4875</f>
        <v>4875</v>
      </c>
      <c r="B4877" s="6" t="s">
        <v>12590</v>
      </c>
      <c r="C4877" s="6" t="s">
        <v>12</v>
      </c>
      <c r="D4877" s="6" t="s">
        <v>11447</v>
      </c>
      <c r="E4877" s="6" t="s">
        <v>12505</v>
      </c>
      <c r="F4877" s="6" t="s">
        <v>12591</v>
      </c>
      <c r="G4877" s="6" t="s">
        <v>16</v>
      </c>
      <c r="H4877" s="5">
        <v>1</v>
      </c>
      <c r="I4877" s="6" t="s">
        <v>12591</v>
      </c>
      <c r="J4877" s="5">
        <v>265</v>
      </c>
    </row>
    <row r="4878" s="2" customFormat="1" spans="1:10">
      <c r="A4878" s="6">
        <f>4876</f>
        <v>4876</v>
      </c>
      <c r="B4878" s="6" t="s">
        <v>12592</v>
      </c>
      <c r="C4878" s="6" t="s">
        <v>12</v>
      </c>
      <c r="D4878" s="6" t="s">
        <v>11447</v>
      </c>
      <c r="E4878" s="6" t="s">
        <v>12505</v>
      </c>
      <c r="F4878" s="6" t="s">
        <v>12593</v>
      </c>
      <c r="G4878" s="6" t="s">
        <v>16</v>
      </c>
      <c r="H4878" s="5">
        <v>1</v>
      </c>
      <c r="I4878" s="6" t="s">
        <v>12593</v>
      </c>
      <c r="J4878" s="5">
        <v>395</v>
      </c>
    </row>
    <row r="4879" s="2" customFormat="1" spans="1:10">
      <c r="A4879" s="6">
        <f>4877</f>
        <v>4877</v>
      </c>
      <c r="B4879" s="6" t="s">
        <v>12594</v>
      </c>
      <c r="C4879" s="6" t="s">
        <v>12</v>
      </c>
      <c r="D4879" s="6" t="s">
        <v>11447</v>
      </c>
      <c r="E4879" s="6" t="s">
        <v>12505</v>
      </c>
      <c r="F4879" s="6" t="s">
        <v>12595</v>
      </c>
      <c r="G4879" s="6" t="s">
        <v>16</v>
      </c>
      <c r="H4879" s="5">
        <v>1</v>
      </c>
      <c r="I4879" s="6" t="s">
        <v>12595</v>
      </c>
      <c r="J4879" s="5">
        <v>290</v>
      </c>
    </row>
    <row r="4880" s="2" customFormat="1" spans="1:10">
      <c r="A4880" s="6">
        <f>4878</f>
        <v>4878</v>
      </c>
      <c r="B4880" s="6" t="s">
        <v>12596</v>
      </c>
      <c r="C4880" s="6" t="s">
        <v>12</v>
      </c>
      <c r="D4880" s="6" t="s">
        <v>11447</v>
      </c>
      <c r="E4880" s="6" t="s">
        <v>12505</v>
      </c>
      <c r="F4880" s="6" t="s">
        <v>12597</v>
      </c>
      <c r="G4880" s="6" t="s">
        <v>16</v>
      </c>
      <c r="H4880" s="5">
        <v>2</v>
      </c>
      <c r="I4880" s="6" t="s">
        <v>12598</v>
      </c>
      <c r="J4880" s="5">
        <v>526</v>
      </c>
    </row>
    <row r="4881" s="2" customFormat="1" spans="1:10">
      <c r="A4881" s="6">
        <f>4879</f>
        <v>4879</v>
      </c>
      <c r="B4881" s="6" t="s">
        <v>12599</v>
      </c>
      <c r="C4881" s="6" t="s">
        <v>12</v>
      </c>
      <c r="D4881" s="6" t="s">
        <v>11447</v>
      </c>
      <c r="E4881" s="6" t="s">
        <v>12505</v>
      </c>
      <c r="F4881" s="6" t="s">
        <v>12600</v>
      </c>
      <c r="G4881" s="6" t="s">
        <v>16</v>
      </c>
      <c r="H4881" s="5">
        <v>1</v>
      </c>
      <c r="I4881" s="6" t="s">
        <v>12600</v>
      </c>
      <c r="J4881" s="5">
        <v>277</v>
      </c>
    </row>
    <row r="4882" s="2" customFormat="1" spans="1:10">
      <c r="A4882" s="6">
        <f>4880</f>
        <v>4880</v>
      </c>
      <c r="B4882" s="6" t="s">
        <v>12601</v>
      </c>
      <c r="C4882" s="6" t="s">
        <v>12</v>
      </c>
      <c r="D4882" s="6" t="s">
        <v>11447</v>
      </c>
      <c r="E4882" s="6" t="s">
        <v>12505</v>
      </c>
      <c r="F4882" s="6" t="s">
        <v>12602</v>
      </c>
      <c r="G4882" s="6" t="s">
        <v>16</v>
      </c>
      <c r="H4882" s="5">
        <v>1</v>
      </c>
      <c r="I4882" s="6" t="s">
        <v>12602</v>
      </c>
      <c r="J4882" s="5">
        <v>275</v>
      </c>
    </row>
    <row r="4883" s="2" customFormat="1" spans="1:10">
      <c r="A4883" s="6">
        <f>4881</f>
        <v>4881</v>
      </c>
      <c r="B4883" s="6" t="s">
        <v>12603</v>
      </c>
      <c r="C4883" s="6" t="s">
        <v>12</v>
      </c>
      <c r="D4883" s="6" t="s">
        <v>11447</v>
      </c>
      <c r="E4883" s="6" t="s">
        <v>12505</v>
      </c>
      <c r="F4883" s="6" t="s">
        <v>12604</v>
      </c>
      <c r="G4883" s="6" t="s">
        <v>16</v>
      </c>
      <c r="H4883" s="5">
        <v>3</v>
      </c>
      <c r="I4883" s="6" t="s">
        <v>12605</v>
      </c>
      <c r="J4883" s="5">
        <v>754</v>
      </c>
    </row>
    <row r="4884" s="2" customFormat="1" ht="27" spans="1:10">
      <c r="A4884" s="6">
        <f>4882</f>
        <v>4882</v>
      </c>
      <c r="B4884" s="6" t="s">
        <v>12606</v>
      </c>
      <c r="C4884" s="6" t="s">
        <v>12</v>
      </c>
      <c r="D4884" s="6" t="s">
        <v>11447</v>
      </c>
      <c r="E4884" s="6" t="s">
        <v>12505</v>
      </c>
      <c r="F4884" s="6" t="s">
        <v>12607</v>
      </c>
      <c r="G4884" s="6" t="s">
        <v>16</v>
      </c>
      <c r="H4884" s="5">
        <v>4</v>
      </c>
      <c r="I4884" s="6" t="s">
        <v>12608</v>
      </c>
      <c r="J4884" s="5">
        <v>820</v>
      </c>
    </row>
    <row r="4885" s="2" customFormat="1" spans="1:10">
      <c r="A4885" s="6">
        <f>4883</f>
        <v>4883</v>
      </c>
      <c r="B4885" s="6" t="s">
        <v>12609</v>
      </c>
      <c r="C4885" s="6" t="s">
        <v>12</v>
      </c>
      <c r="D4885" s="6" t="s">
        <v>11447</v>
      </c>
      <c r="E4885" s="6" t="s">
        <v>12505</v>
      </c>
      <c r="F4885" s="6" t="s">
        <v>12610</v>
      </c>
      <c r="G4885" s="6" t="s">
        <v>16</v>
      </c>
      <c r="H4885" s="5">
        <v>1</v>
      </c>
      <c r="I4885" s="6" t="s">
        <v>12610</v>
      </c>
      <c r="J4885" s="5">
        <v>460</v>
      </c>
    </row>
    <row r="4886" s="2" customFormat="1" spans="1:10">
      <c r="A4886" s="6">
        <f>4884</f>
        <v>4884</v>
      </c>
      <c r="B4886" s="6" t="s">
        <v>12611</v>
      </c>
      <c r="C4886" s="6" t="s">
        <v>12</v>
      </c>
      <c r="D4886" s="6" t="s">
        <v>11447</v>
      </c>
      <c r="E4886" s="6" t="s">
        <v>12505</v>
      </c>
      <c r="F4886" s="6" t="s">
        <v>12612</v>
      </c>
      <c r="G4886" s="6" t="s">
        <v>16</v>
      </c>
      <c r="H4886" s="5">
        <v>1</v>
      </c>
      <c r="I4886" s="6" t="s">
        <v>12612</v>
      </c>
      <c r="J4886" s="5">
        <v>460</v>
      </c>
    </row>
    <row r="4887" s="2" customFormat="1" spans="1:10">
      <c r="A4887" s="6">
        <f>4885</f>
        <v>4885</v>
      </c>
      <c r="B4887" s="6" t="s">
        <v>12613</v>
      </c>
      <c r="C4887" s="6" t="s">
        <v>12</v>
      </c>
      <c r="D4887" s="6" t="s">
        <v>11447</v>
      </c>
      <c r="E4887" s="6" t="s">
        <v>12505</v>
      </c>
      <c r="F4887" s="6" t="s">
        <v>12614</v>
      </c>
      <c r="G4887" s="6" t="s">
        <v>16</v>
      </c>
      <c r="H4887" s="5">
        <v>1</v>
      </c>
      <c r="I4887" s="6" t="s">
        <v>12614</v>
      </c>
      <c r="J4887" s="5">
        <v>275</v>
      </c>
    </row>
    <row r="4888" s="2" customFormat="1" ht="27" spans="1:10">
      <c r="A4888" s="6">
        <f>4886</f>
        <v>4886</v>
      </c>
      <c r="B4888" s="6" t="s">
        <v>12615</v>
      </c>
      <c r="C4888" s="6" t="s">
        <v>12</v>
      </c>
      <c r="D4888" s="6" t="s">
        <v>11447</v>
      </c>
      <c r="E4888" s="6" t="s">
        <v>12505</v>
      </c>
      <c r="F4888" s="6" t="s">
        <v>12616</v>
      </c>
      <c r="G4888" s="6" t="s">
        <v>16</v>
      </c>
      <c r="H4888" s="5">
        <v>4</v>
      </c>
      <c r="I4888" s="6" t="s">
        <v>12617</v>
      </c>
      <c r="J4888" s="5">
        <v>1800</v>
      </c>
    </row>
    <row r="4889" s="2" customFormat="1" ht="27" spans="1:10">
      <c r="A4889" s="6">
        <f>4887</f>
        <v>4887</v>
      </c>
      <c r="B4889" s="6" t="s">
        <v>12618</v>
      </c>
      <c r="C4889" s="6" t="s">
        <v>12</v>
      </c>
      <c r="D4889" s="6" t="s">
        <v>11447</v>
      </c>
      <c r="E4889" s="6" t="s">
        <v>12505</v>
      </c>
      <c r="F4889" s="6" t="s">
        <v>12619</v>
      </c>
      <c r="G4889" s="6" t="s">
        <v>16</v>
      </c>
      <c r="H4889" s="5">
        <v>4</v>
      </c>
      <c r="I4889" s="6" t="s">
        <v>12620</v>
      </c>
      <c r="J4889" s="5">
        <v>2480</v>
      </c>
    </row>
    <row r="4890" s="2" customFormat="1" ht="27" spans="1:10">
      <c r="A4890" s="6">
        <f>4888</f>
        <v>4888</v>
      </c>
      <c r="B4890" s="6" t="s">
        <v>12621</v>
      </c>
      <c r="C4890" s="6" t="s">
        <v>12</v>
      </c>
      <c r="D4890" s="6" t="s">
        <v>11447</v>
      </c>
      <c r="E4890" s="6" t="s">
        <v>12622</v>
      </c>
      <c r="F4890" s="6" t="s">
        <v>12623</v>
      </c>
      <c r="G4890" s="6" t="s">
        <v>16</v>
      </c>
      <c r="H4890" s="5">
        <v>4</v>
      </c>
      <c r="I4890" s="6" t="s">
        <v>12624</v>
      </c>
      <c r="J4890" s="5">
        <v>1140</v>
      </c>
    </row>
    <row r="4891" s="2" customFormat="1" spans="1:10">
      <c r="A4891" s="6">
        <f>4889</f>
        <v>4889</v>
      </c>
      <c r="B4891" s="6" t="s">
        <v>12625</v>
      </c>
      <c r="C4891" s="6" t="s">
        <v>12</v>
      </c>
      <c r="D4891" s="6" t="s">
        <v>11447</v>
      </c>
      <c r="E4891" s="6" t="s">
        <v>12622</v>
      </c>
      <c r="F4891" s="6" t="s">
        <v>12626</v>
      </c>
      <c r="G4891" s="6" t="s">
        <v>16</v>
      </c>
      <c r="H4891" s="5">
        <v>3</v>
      </c>
      <c r="I4891" s="6" t="s">
        <v>12627</v>
      </c>
      <c r="J4891" s="5">
        <v>1168</v>
      </c>
    </row>
    <row r="4892" s="2" customFormat="1" spans="1:10">
      <c r="A4892" s="6">
        <f>4890</f>
        <v>4890</v>
      </c>
      <c r="B4892" s="6" t="s">
        <v>12628</v>
      </c>
      <c r="C4892" s="6" t="s">
        <v>12</v>
      </c>
      <c r="D4892" s="6" t="s">
        <v>11447</v>
      </c>
      <c r="E4892" s="6" t="s">
        <v>12622</v>
      </c>
      <c r="F4892" s="6" t="s">
        <v>12629</v>
      </c>
      <c r="G4892" s="6" t="s">
        <v>16</v>
      </c>
      <c r="H4892" s="5">
        <v>3</v>
      </c>
      <c r="I4892" s="6" t="s">
        <v>12630</v>
      </c>
      <c r="J4892" s="5">
        <v>580</v>
      </c>
    </row>
    <row r="4893" s="2" customFormat="1" ht="27" spans="1:10">
      <c r="A4893" s="6">
        <f>4891</f>
        <v>4891</v>
      </c>
      <c r="B4893" s="6" t="s">
        <v>12631</v>
      </c>
      <c r="C4893" s="6" t="s">
        <v>12</v>
      </c>
      <c r="D4893" s="6" t="s">
        <v>11447</v>
      </c>
      <c r="E4893" s="6" t="s">
        <v>12622</v>
      </c>
      <c r="F4893" s="6" t="s">
        <v>12632</v>
      </c>
      <c r="G4893" s="6" t="s">
        <v>16</v>
      </c>
      <c r="H4893" s="5">
        <v>6</v>
      </c>
      <c r="I4893" s="6" t="s">
        <v>12633</v>
      </c>
      <c r="J4893" s="5">
        <v>1010</v>
      </c>
    </row>
    <row r="4894" s="2" customFormat="1" spans="1:10">
      <c r="A4894" s="6">
        <f>4892</f>
        <v>4892</v>
      </c>
      <c r="B4894" s="6" t="s">
        <v>12634</v>
      </c>
      <c r="C4894" s="6" t="s">
        <v>12</v>
      </c>
      <c r="D4894" s="6" t="s">
        <v>11447</v>
      </c>
      <c r="E4894" s="6" t="s">
        <v>12622</v>
      </c>
      <c r="F4894" s="6" t="s">
        <v>12635</v>
      </c>
      <c r="G4894" s="6" t="s">
        <v>16</v>
      </c>
      <c r="H4894" s="5">
        <v>3</v>
      </c>
      <c r="I4894" s="6" t="s">
        <v>12636</v>
      </c>
      <c r="J4894" s="5">
        <v>1320</v>
      </c>
    </row>
    <row r="4895" s="2" customFormat="1" ht="27" spans="1:10">
      <c r="A4895" s="6">
        <f>4893</f>
        <v>4893</v>
      </c>
      <c r="B4895" s="6" t="s">
        <v>12637</v>
      </c>
      <c r="C4895" s="6" t="s">
        <v>12</v>
      </c>
      <c r="D4895" s="6" t="s">
        <v>11447</v>
      </c>
      <c r="E4895" s="6" t="s">
        <v>12622</v>
      </c>
      <c r="F4895" s="6" t="s">
        <v>12638</v>
      </c>
      <c r="G4895" s="6" t="s">
        <v>16</v>
      </c>
      <c r="H4895" s="5">
        <v>4</v>
      </c>
      <c r="I4895" s="6" t="s">
        <v>12639</v>
      </c>
      <c r="J4895" s="5">
        <v>740</v>
      </c>
    </row>
    <row r="4896" s="2" customFormat="1" spans="1:10">
      <c r="A4896" s="6">
        <f>4894</f>
        <v>4894</v>
      </c>
      <c r="B4896" s="6" t="s">
        <v>12640</v>
      </c>
      <c r="C4896" s="6" t="s">
        <v>12</v>
      </c>
      <c r="D4896" s="6" t="s">
        <v>11447</v>
      </c>
      <c r="E4896" s="6" t="s">
        <v>12622</v>
      </c>
      <c r="F4896" s="6" t="s">
        <v>12641</v>
      </c>
      <c r="G4896" s="6" t="s">
        <v>16</v>
      </c>
      <c r="H4896" s="5">
        <v>3</v>
      </c>
      <c r="I4896" s="6" t="s">
        <v>12642</v>
      </c>
      <c r="J4896" s="5">
        <v>1020</v>
      </c>
    </row>
    <row r="4897" s="2" customFormat="1" ht="40.5" spans="1:10">
      <c r="A4897" s="6">
        <f>4895</f>
        <v>4895</v>
      </c>
      <c r="B4897" s="6" t="s">
        <v>12643</v>
      </c>
      <c r="C4897" s="6" t="s">
        <v>12</v>
      </c>
      <c r="D4897" s="6" t="s">
        <v>11447</v>
      </c>
      <c r="E4897" s="6" t="s">
        <v>12622</v>
      </c>
      <c r="F4897" s="6" t="s">
        <v>12644</v>
      </c>
      <c r="G4897" s="6" t="s">
        <v>16</v>
      </c>
      <c r="H4897" s="5">
        <v>7</v>
      </c>
      <c r="I4897" s="6" t="s">
        <v>12645</v>
      </c>
      <c r="J4897" s="5">
        <v>1680</v>
      </c>
    </row>
    <row r="4898" s="2" customFormat="1" spans="1:10">
      <c r="A4898" s="6">
        <f>4896</f>
        <v>4896</v>
      </c>
      <c r="B4898" s="6" t="s">
        <v>12646</v>
      </c>
      <c r="C4898" s="6" t="s">
        <v>12</v>
      </c>
      <c r="D4898" s="6" t="s">
        <v>11447</v>
      </c>
      <c r="E4898" s="6" t="s">
        <v>12622</v>
      </c>
      <c r="F4898" s="6" t="s">
        <v>12647</v>
      </c>
      <c r="G4898" s="6" t="s">
        <v>16</v>
      </c>
      <c r="H4898" s="5">
        <v>1</v>
      </c>
      <c r="I4898" s="6" t="s">
        <v>12647</v>
      </c>
      <c r="J4898" s="5">
        <v>270</v>
      </c>
    </row>
    <row r="4899" s="2" customFormat="1" spans="1:10">
      <c r="A4899" s="6">
        <f>4897</f>
        <v>4897</v>
      </c>
      <c r="B4899" s="6" t="s">
        <v>12648</v>
      </c>
      <c r="C4899" s="6" t="s">
        <v>12</v>
      </c>
      <c r="D4899" s="6" t="s">
        <v>11447</v>
      </c>
      <c r="E4899" s="6" t="s">
        <v>12622</v>
      </c>
      <c r="F4899" s="6" t="s">
        <v>12649</v>
      </c>
      <c r="G4899" s="6" t="s">
        <v>16</v>
      </c>
      <c r="H4899" s="5">
        <v>1</v>
      </c>
      <c r="I4899" s="6" t="s">
        <v>12649</v>
      </c>
      <c r="J4899" s="5">
        <v>228</v>
      </c>
    </row>
    <row r="4900" s="2" customFormat="1" spans="1:10">
      <c r="A4900" s="6">
        <f>4898</f>
        <v>4898</v>
      </c>
      <c r="B4900" s="6" t="s">
        <v>12650</v>
      </c>
      <c r="C4900" s="6" t="s">
        <v>12</v>
      </c>
      <c r="D4900" s="6" t="s">
        <v>11447</v>
      </c>
      <c r="E4900" s="6" t="s">
        <v>12622</v>
      </c>
      <c r="F4900" s="6" t="s">
        <v>12651</v>
      </c>
      <c r="G4900" s="6" t="s">
        <v>16</v>
      </c>
      <c r="H4900" s="5">
        <v>1</v>
      </c>
      <c r="I4900" s="6" t="s">
        <v>12651</v>
      </c>
      <c r="J4900" s="5">
        <v>208</v>
      </c>
    </row>
    <row r="4901" s="2" customFormat="1" spans="1:10">
      <c r="A4901" s="6">
        <f>4899</f>
        <v>4899</v>
      </c>
      <c r="B4901" s="6" t="s">
        <v>12652</v>
      </c>
      <c r="C4901" s="6" t="s">
        <v>12</v>
      </c>
      <c r="D4901" s="6" t="s">
        <v>11447</v>
      </c>
      <c r="E4901" s="6" t="s">
        <v>12622</v>
      </c>
      <c r="F4901" s="6" t="s">
        <v>12653</v>
      </c>
      <c r="G4901" s="6" t="s">
        <v>16</v>
      </c>
      <c r="H4901" s="5">
        <v>2</v>
      </c>
      <c r="I4901" s="6" t="s">
        <v>12654</v>
      </c>
      <c r="J4901" s="5">
        <v>459</v>
      </c>
    </row>
    <row r="4902" s="2" customFormat="1" spans="1:10">
      <c r="A4902" s="6">
        <f>4900</f>
        <v>4900</v>
      </c>
      <c r="B4902" s="6" t="s">
        <v>12655</v>
      </c>
      <c r="C4902" s="6" t="s">
        <v>12</v>
      </c>
      <c r="D4902" s="6" t="s">
        <v>11447</v>
      </c>
      <c r="E4902" s="6" t="s">
        <v>12622</v>
      </c>
      <c r="F4902" s="6" t="s">
        <v>12656</v>
      </c>
      <c r="G4902" s="6" t="s">
        <v>16</v>
      </c>
      <c r="H4902" s="5">
        <v>2</v>
      </c>
      <c r="I4902" s="6" t="s">
        <v>12657</v>
      </c>
      <c r="J4902" s="5">
        <v>880</v>
      </c>
    </row>
    <row r="4903" s="2" customFormat="1" spans="1:10">
      <c r="A4903" s="6">
        <f>4901</f>
        <v>4901</v>
      </c>
      <c r="B4903" s="6" t="s">
        <v>12658</v>
      </c>
      <c r="C4903" s="6" t="s">
        <v>12</v>
      </c>
      <c r="D4903" s="6" t="s">
        <v>11447</v>
      </c>
      <c r="E4903" s="6" t="s">
        <v>12622</v>
      </c>
      <c r="F4903" s="6" t="s">
        <v>12659</v>
      </c>
      <c r="G4903" s="6" t="s">
        <v>16</v>
      </c>
      <c r="H4903" s="5">
        <v>2</v>
      </c>
      <c r="I4903" s="6" t="s">
        <v>12660</v>
      </c>
      <c r="J4903" s="5">
        <v>495</v>
      </c>
    </row>
    <row r="4904" s="2" customFormat="1" spans="1:10">
      <c r="A4904" s="6">
        <f>4902</f>
        <v>4902</v>
      </c>
      <c r="B4904" s="6" t="s">
        <v>12661</v>
      </c>
      <c r="C4904" s="6" t="s">
        <v>12</v>
      </c>
      <c r="D4904" s="6" t="s">
        <v>11447</v>
      </c>
      <c r="E4904" s="6" t="s">
        <v>12622</v>
      </c>
      <c r="F4904" s="6" t="s">
        <v>12662</v>
      </c>
      <c r="G4904" s="6" t="s">
        <v>16</v>
      </c>
      <c r="H4904" s="5">
        <v>1</v>
      </c>
      <c r="I4904" s="6" t="s">
        <v>12662</v>
      </c>
      <c r="J4904" s="5">
        <v>310</v>
      </c>
    </row>
    <row r="4905" s="2" customFormat="1" spans="1:10">
      <c r="A4905" s="6">
        <f>4903</f>
        <v>4903</v>
      </c>
      <c r="B4905" s="6" t="s">
        <v>12663</v>
      </c>
      <c r="C4905" s="6" t="s">
        <v>12</v>
      </c>
      <c r="D4905" s="6" t="s">
        <v>11447</v>
      </c>
      <c r="E4905" s="6" t="s">
        <v>12622</v>
      </c>
      <c r="F4905" s="6" t="s">
        <v>12664</v>
      </c>
      <c r="G4905" s="6" t="s">
        <v>16</v>
      </c>
      <c r="H4905" s="5">
        <v>2</v>
      </c>
      <c r="I4905" s="6" t="s">
        <v>12665</v>
      </c>
      <c r="J4905" s="5">
        <v>732</v>
      </c>
    </row>
    <row r="4906" s="2" customFormat="1" spans="1:10">
      <c r="A4906" s="6">
        <f>4904</f>
        <v>4904</v>
      </c>
      <c r="B4906" s="6" t="s">
        <v>12666</v>
      </c>
      <c r="C4906" s="6" t="s">
        <v>12</v>
      </c>
      <c r="D4906" s="6" t="s">
        <v>11447</v>
      </c>
      <c r="E4906" s="6" t="s">
        <v>12622</v>
      </c>
      <c r="F4906" s="6" t="s">
        <v>12667</v>
      </c>
      <c r="G4906" s="6" t="s">
        <v>16</v>
      </c>
      <c r="H4906" s="5">
        <v>1</v>
      </c>
      <c r="I4906" s="6" t="s">
        <v>12667</v>
      </c>
      <c r="J4906" s="5">
        <v>235</v>
      </c>
    </row>
    <row r="4907" s="2" customFormat="1" spans="1:10">
      <c r="A4907" s="6">
        <f>4905</f>
        <v>4905</v>
      </c>
      <c r="B4907" s="6" t="s">
        <v>12668</v>
      </c>
      <c r="C4907" s="6" t="s">
        <v>12</v>
      </c>
      <c r="D4907" s="6" t="s">
        <v>11447</v>
      </c>
      <c r="E4907" s="6" t="s">
        <v>12622</v>
      </c>
      <c r="F4907" s="6" t="s">
        <v>12669</v>
      </c>
      <c r="G4907" s="6" t="s">
        <v>16</v>
      </c>
      <c r="H4907" s="5">
        <v>1</v>
      </c>
      <c r="I4907" s="6" t="s">
        <v>12669</v>
      </c>
      <c r="J4907" s="5">
        <v>275</v>
      </c>
    </row>
    <row r="4908" s="2" customFormat="1" spans="1:10">
      <c r="A4908" s="6">
        <f>4906</f>
        <v>4906</v>
      </c>
      <c r="B4908" s="6" t="s">
        <v>12670</v>
      </c>
      <c r="C4908" s="6" t="s">
        <v>12</v>
      </c>
      <c r="D4908" s="6" t="s">
        <v>11447</v>
      </c>
      <c r="E4908" s="6" t="s">
        <v>12622</v>
      </c>
      <c r="F4908" s="6" t="s">
        <v>12671</v>
      </c>
      <c r="G4908" s="6" t="s">
        <v>16</v>
      </c>
      <c r="H4908" s="5">
        <v>2</v>
      </c>
      <c r="I4908" s="6" t="s">
        <v>12672</v>
      </c>
      <c r="J4908" s="5">
        <v>405</v>
      </c>
    </row>
    <row r="4909" s="2" customFormat="1" spans="1:10">
      <c r="A4909" s="6">
        <f>4907</f>
        <v>4907</v>
      </c>
      <c r="B4909" s="6" t="s">
        <v>12673</v>
      </c>
      <c r="C4909" s="6" t="s">
        <v>12</v>
      </c>
      <c r="D4909" s="6" t="s">
        <v>11447</v>
      </c>
      <c r="E4909" s="6" t="s">
        <v>12622</v>
      </c>
      <c r="F4909" s="6" t="s">
        <v>12674</v>
      </c>
      <c r="G4909" s="6" t="s">
        <v>16</v>
      </c>
      <c r="H4909" s="5">
        <v>2</v>
      </c>
      <c r="I4909" s="6" t="s">
        <v>12675</v>
      </c>
      <c r="J4909" s="5">
        <v>370</v>
      </c>
    </row>
    <row r="4910" s="2" customFormat="1" spans="1:10">
      <c r="A4910" s="6">
        <f>4908</f>
        <v>4908</v>
      </c>
      <c r="B4910" s="6" t="s">
        <v>12676</v>
      </c>
      <c r="C4910" s="6" t="s">
        <v>12</v>
      </c>
      <c r="D4910" s="6" t="s">
        <v>11447</v>
      </c>
      <c r="E4910" s="6" t="s">
        <v>12622</v>
      </c>
      <c r="F4910" s="6" t="s">
        <v>12677</v>
      </c>
      <c r="G4910" s="6" t="s">
        <v>16</v>
      </c>
      <c r="H4910" s="5">
        <v>1</v>
      </c>
      <c r="I4910" s="6" t="s">
        <v>12677</v>
      </c>
      <c r="J4910" s="5">
        <v>317</v>
      </c>
    </row>
    <row r="4911" s="2" customFormat="1" spans="1:10">
      <c r="A4911" s="6">
        <f>4909</f>
        <v>4909</v>
      </c>
      <c r="B4911" s="6" t="s">
        <v>12678</v>
      </c>
      <c r="C4911" s="6" t="s">
        <v>12</v>
      </c>
      <c r="D4911" s="6" t="s">
        <v>11447</v>
      </c>
      <c r="E4911" s="6" t="s">
        <v>12622</v>
      </c>
      <c r="F4911" s="6" t="s">
        <v>12679</v>
      </c>
      <c r="G4911" s="6" t="s">
        <v>16</v>
      </c>
      <c r="H4911" s="5">
        <v>1</v>
      </c>
      <c r="I4911" s="6" t="s">
        <v>12679</v>
      </c>
      <c r="J4911" s="5">
        <v>298</v>
      </c>
    </row>
    <row r="4912" s="2" customFormat="1" spans="1:10">
      <c r="A4912" s="6">
        <f>4910</f>
        <v>4910</v>
      </c>
      <c r="B4912" s="6" t="s">
        <v>12680</v>
      </c>
      <c r="C4912" s="6" t="s">
        <v>12</v>
      </c>
      <c r="D4912" s="6" t="s">
        <v>11447</v>
      </c>
      <c r="E4912" s="6" t="s">
        <v>12622</v>
      </c>
      <c r="F4912" s="6" t="s">
        <v>12681</v>
      </c>
      <c r="G4912" s="6" t="s">
        <v>16</v>
      </c>
      <c r="H4912" s="5">
        <v>2</v>
      </c>
      <c r="I4912" s="6" t="s">
        <v>12682</v>
      </c>
      <c r="J4912" s="5">
        <v>880</v>
      </c>
    </row>
    <row r="4913" s="2" customFormat="1" spans="1:10">
      <c r="A4913" s="6">
        <f>4911</f>
        <v>4911</v>
      </c>
      <c r="B4913" s="6" t="s">
        <v>12683</v>
      </c>
      <c r="C4913" s="6" t="s">
        <v>12</v>
      </c>
      <c r="D4913" s="6" t="s">
        <v>11447</v>
      </c>
      <c r="E4913" s="6" t="s">
        <v>12622</v>
      </c>
      <c r="F4913" s="6" t="s">
        <v>12684</v>
      </c>
      <c r="G4913" s="6" t="s">
        <v>16</v>
      </c>
      <c r="H4913" s="5">
        <v>2</v>
      </c>
      <c r="I4913" s="6" t="s">
        <v>12685</v>
      </c>
      <c r="J4913" s="5">
        <v>288</v>
      </c>
    </row>
    <row r="4914" s="2" customFormat="1" spans="1:10">
      <c r="A4914" s="6">
        <f>4912</f>
        <v>4912</v>
      </c>
      <c r="B4914" s="6" t="s">
        <v>12686</v>
      </c>
      <c r="C4914" s="6" t="s">
        <v>12</v>
      </c>
      <c r="D4914" s="6" t="s">
        <v>11447</v>
      </c>
      <c r="E4914" s="6" t="s">
        <v>12622</v>
      </c>
      <c r="F4914" s="6" t="s">
        <v>12687</v>
      </c>
      <c r="G4914" s="6" t="s">
        <v>16</v>
      </c>
      <c r="H4914" s="5">
        <v>1</v>
      </c>
      <c r="I4914" s="6" t="s">
        <v>12687</v>
      </c>
      <c r="J4914" s="5">
        <v>218</v>
      </c>
    </row>
    <row r="4915" s="2" customFormat="1" spans="1:10">
      <c r="A4915" s="6">
        <f>4913</f>
        <v>4913</v>
      </c>
      <c r="B4915" s="6" t="s">
        <v>12688</v>
      </c>
      <c r="C4915" s="6" t="s">
        <v>12</v>
      </c>
      <c r="D4915" s="6" t="s">
        <v>11447</v>
      </c>
      <c r="E4915" s="6" t="s">
        <v>12622</v>
      </c>
      <c r="F4915" s="6" t="s">
        <v>12689</v>
      </c>
      <c r="G4915" s="6" t="s">
        <v>16</v>
      </c>
      <c r="H4915" s="5">
        <v>1</v>
      </c>
      <c r="I4915" s="6" t="s">
        <v>12689</v>
      </c>
      <c r="J4915" s="5">
        <v>286</v>
      </c>
    </row>
    <row r="4916" s="2" customFormat="1" spans="1:10">
      <c r="A4916" s="6">
        <f>4914</f>
        <v>4914</v>
      </c>
      <c r="B4916" s="6" t="s">
        <v>12690</v>
      </c>
      <c r="C4916" s="6" t="s">
        <v>12</v>
      </c>
      <c r="D4916" s="6" t="s">
        <v>11447</v>
      </c>
      <c r="E4916" s="6" t="s">
        <v>12622</v>
      </c>
      <c r="F4916" s="6" t="s">
        <v>12691</v>
      </c>
      <c r="G4916" s="6" t="s">
        <v>16</v>
      </c>
      <c r="H4916" s="5">
        <v>2</v>
      </c>
      <c r="I4916" s="6" t="s">
        <v>12692</v>
      </c>
      <c r="J4916" s="5">
        <v>490</v>
      </c>
    </row>
    <row r="4917" s="2" customFormat="1" spans="1:10">
      <c r="A4917" s="6">
        <f>4915</f>
        <v>4915</v>
      </c>
      <c r="B4917" s="6" t="s">
        <v>12693</v>
      </c>
      <c r="C4917" s="6" t="s">
        <v>12</v>
      </c>
      <c r="D4917" s="6" t="s">
        <v>11447</v>
      </c>
      <c r="E4917" s="6" t="s">
        <v>12622</v>
      </c>
      <c r="F4917" s="6" t="s">
        <v>12694</v>
      </c>
      <c r="G4917" s="6" t="s">
        <v>16</v>
      </c>
      <c r="H4917" s="5">
        <v>2</v>
      </c>
      <c r="I4917" s="6" t="s">
        <v>12695</v>
      </c>
      <c r="J4917" s="5">
        <v>658</v>
      </c>
    </row>
    <row r="4918" s="2" customFormat="1" spans="1:10">
      <c r="A4918" s="6">
        <f>4916</f>
        <v>4916</v>
      </c>
      <c r="B4918" s="6" t="s">
        <v>12696</v>
      </c>
      <c r="C4918" s="6" t="s">
        <v>12</v>
      </c>
      <c r="D4918" s="6" t="s">
        <v>11447</v>
      </c>
      <c r="E4918" s="6" t="s">
        <v>12622</v>
      </c>
      <c r="F4918" s="6" t="s">
        <v>12697</v>
      </c>
      <c r="G4918" s="6" t="s">
        <v>16</v>
      </c>
      <c r="H4918" s="5">
        <v>2</v>
      </c>
      <c r="I4918" s="6" t="s">
        <v>12698</v>
      </c>
      <c r="J4918" s="5">
        <v>476</v>
      </c>
    </row>
    <row r="4919" s="2" customFormat="1" ht="27" spans="1:10">
      <c r="A4919" s="6">
        <f>4917</f>
        <v>4917</v>
      </c>
      <c r="B4919" s="6" t="s">
        <v>12699</v>
      </c>
      <c r="C4919" s="6" t="s">
        <v>12</v>
      </c>
      <c r="D4919" s="6" t="s">
        <v>11447</v>
      </c>
      <c r="E4919" s="6" t="s">
        <v>12622</v>
      </c>
      <c r="F4919" s="6" t="s">
        <v>12700</v>
      </c>
      <c r="G4919" s="6" t="s">
        <v>16</v>
      </c>
      <c r="H4919" s="5">
        <v>4</v>
      </c>
      <c r="I4919" s="6" t="s">
        <v>12701</v>
      </c>
      <c r="J4919" s="5">
        <v>600</v>
      </c>
    </row>
    <row r="4920" s="2" customFormat="1" spans="1:10">
      <c r="A4920" s="6">
        <f>4918</f>
        <v>4918</v>
      </c>
      <c r="B4920" s="6" t="s">
        <v>12702</v>
      </c>
      <c r="C4920" s="6" t="s">
        <v>12</v>
      </c>
      <c r="D4920" s="6" t="s">
        <v>11447</v>
      </c>
      <c r="E4920" s="6" t="s">
        <v>12622</v>
      </c>
      <c r="F4920" s="6" t="s">
        <v>12703</v>
      </c>
      <c r="G4920" s="6" t="s">
        <v>16</v>
      </c>
      <c r="H4920" s="5">
        <v>1</v>
      </c>
      <c r="I4920" s="6" t="s">
        <v>12703</v>
      </c>
      <c r="J4920" s="5">
        <v>220</v>
      </c>
    </row>
    <row r="4921" s="2" customFormat="1" ht="27" spans="1:10">
      <c r="A4921" s="6">
        <f>4919</f>
        <v>4919</v>
      </c>
      <c r="B4921" s="6" t="s">
        <v>12704</v>
      </c>
      <c r="C4921" s="6" t="s">
        <v>12</v>
      </c>
      <c r="D4921" s="6" t="s">
        <v>11447</v>
      </c>
      <c r="E4921" s="6" t="s">
        <v>12622</v>
      </c>
      <c r="F4921" s="6" t="s">
        <v>12705</v>
      </c>
      <c r="G4921" s="6" t="s">
        <v>16</v>
      </c>
      <c r="H4921" s="5">
        <v>5</v>
      </c>
      <c r="I4921" s="6" t="s">
        <v>12706</v>
      </c>
      <c r="J4921" s="5">
        <v>470</v>
      </c>
    </row>
    <row r="4922" s="2" customFormat="1" spans="1:10">
      <c r="A4922" s="6">
        <f>4920</f>
        <v>4920</v>
      </c>
      <c r="B4922" s="6" t="s">
        <v>12707</v>
      </c>
      <c r="C4922" s="6" t="s">
        <v>12</v>
      </c>
      <c r="D4922" s="6" t="s">
        <v>11447</v>
      </c>
      <c r="E4922" s="6" t="s">
        <v>12622</v>
      </c>
      <c r="F4922" s="6" t="s">
        <v>12708</v>
      </c>
      <c r="G4922" s="6" t="s">
        <v>16</v>
      </c>
      <c r="H4922" s="5">
        <v>1</v>
      </c>
      <c r="I4922" s="6" t="s">
        <v>12708</v>
      </c>
      <c r="J4922" s="5">
        <v>215</v>
      </c>
    </row>
    <row r="4923" s="2" customFormat="1" spans="1:10">
      <c r="A4923" s="6">
        <f>4921</f>
        <v>4921</v>
      </c>
      <c r="B4923" s="6" t="s">
        <v>12709</v>
      </c>
      <c r="C4923" s="6" t="s">
        <v>12</v>
      </c>
      <c r="D4923" s="6" t="s">
        <v>11447</v>
      </c>
      <c r="E4923" s="6" t="s">
        <v>12622</v>
      </c>
      <c r="F4923" s="6" t="s">
        <v>12710</v>
      </c>
      <c r="G4923" s="6" t="s">
        <v>16</v>
      </c>
      <c r="H4923" s="5">
        <v>2</v>
      </c>
      <c r="I4923" s="6" t="s">
        <v>12711</v>
      </c>
      <c r="J4923" s="5">
        <v>490</v>
      </c>
    </row>
    <row r="4924" s="2" customFormat="1" ht="27" spans="1:10">
      <c r="A4924" s="6">
        <f>4922</f>
        <v>4922</v>
      </c>
      <c r="B4924" s="6" t="s">
        <v>12712</v>
      </c>
      <c r="C4924" s="6" t="s">
        <v>12</v>
      </c>
      <c r="D4924" s="6" t="s">
        <v>11447</v>
      </c>
      <c r="E4924" s="6" t="s">
        <v>12622</v>
      </c>
      <c r="F4924" s="6" t="s">
        <v>12713</v>
      </c>
      <c r="G4924" s="6" t="s">
        <v>16</v>
      </c>
      <c r="H4924" s="5">
        <v>4</v>
      </c>
      <c r="I4924" s="6" t="s">
        <v>12714</v>
      </c>
      <c r="J4924" s="5">
        <v>320</v>
      </c>
    </row>
    <row r="4925" s="2" customFormat="1" spans="1:10">
      <c r="A4925" s="6">
        <f>4923</f>
        <v>4923</v>
      </c>
      <c r="B4925" s="6" t="s">
        <v>12715</v>
      </c>
      <c r="C4925" s="6" t="s">
        <v>12</v>
      </c>
      <c r="D4925" s="6" t="s">
        <v>11447</v>
      </c>
      <c r="E4925" s="6" t="s">
        <v>12622</v>
      </c>
      <c r="F4925" s="6" t="s">
        <v>12716</v>
      </c>
      <c r="G4925" s="6" t="s">
        <v>16</v>
      </c>
      <c r="H4925" s="5">
        <v>1</v>
      </c>
      <c r="I4925" s="6" t="s">
        <v>12716</v>
      </c>
      <c r="J4925" s="5">
        <v>248</v>
      </c>
    </row>
    <row r="4926" s="2" customFormat="1" spans="1:10">
      <c r="A4926" s="6">
        <f>4924</f>
        <v>4924</v>
      </c>
      <c r="B4926" s="6" t="s">
        <v>12717</v>
      </c>
      <c r="C4926" s="6" t="s">
        <v>12</v>
      </c>
      <c r="D4926" s="6" t="s">
        <v>11447</v>
      </c>
      <c r="E4926" s="6" t="s">
        <v>12622</v>
      </c>
      <c r="F4926" s="6" t="s">
        <v>12718</v>
      </c>
      <c r="G4926" s="6" t="s">
        <v>16</v>
      </c>
      <c r="H4926" s="5">
        <v>3</v>
      </c>
      <c r="I4926" s="6" t="s">
        <v>12719</v>
      </c>
      <c r="J4926" s="5">
        <v>660</v>
      </c>
    </row>
    <row r="4927" s="2" customFormat="1" spans="1:10">
      <c r="A4927" s="6">
        <f>4925</f>
        <v>4925</v>
      </c>
      <c r="B4927" s="6" t="s">
        <v>12720</v>
      </c>
      <c r="C4927" s="6" t="s">
        <v>12</v>
      </c>
      <c r="D4927" s="6" t="s">
        <v>11447</v>
      </c>
      <c r="E4927" s="6" t="s">
        <v>12622</v>
      </c>
      <c r="F4927" s="6" t="s">
        <v>12721</v>
      </c>
      <c r="G4927" s="6" t="s">
        <v>16</v>
      </c>
      <c r="H4927" s="5">
        <v>3</v>
      </c>
      <c r="I4927" s="6" t="s">
        <v>12722</v>
      </c>
      <c r="J4927" s="5">
        <v>657</v>
      </c>
    </row>
    <row r="4928" s="2" customFormat="1" spans="1:10">
      <c r="A4928" s="6">
        <f>4926</f>
        <v>4926</v>
      </c>
      <c r="B4928" s="6" t="s">
        <v>12723</v>
      </c>
      <c r="C4928" s="6" t="s">
        <v>12</v>
      </c>
      <c r="D4928" s="6" t="s">
        <v>11447</v>
      </c>
      <c r="E4928" s="6" t="s">
        <v>12622</v>
      </c>
      <c r="F4928" s="6" t="s">
        <v>12724</v>
      </c>
      <c r="G4928" s="6" t="s">
        <v>16</v>
      </c>
      <c r="H4928" s="5">
        <v>2</v>
      </c>
      <c r="I4928" s="6" t="s">
        <v>12725</v>
      </c>
      <c r="J4928" s="5">
        <v>680</v>
      </c>
    </row>
    <row r="4929" s="2" customFormat="1" spans="1:10">
      <c r="A4929" s="6">
        <f>4927</f>
        <v>4927</v>
      </c>
      <c r="B4929" s="6" t="s">
        <v>12726</v>
      </c>
      <c r="C4929" s="6" t="s">
        <v>12</v>
      </c>
      <c r="D4929" s="6" t="s">
        <v>11447</v>
      </c>
      <c r="E4929" s="6" t="s">
        <v>12622</v>
      </c>
      <c r="F4929" s="6" t="s">
        <v>12727</v>
      </c>
      <c r="G4929" s="6" t="s">
        <v>16</v>
      </c>
      <c r="H4929" s="5">
        <v>2</v>
      </c>
      <c r="I4929" s="6" t="s">
        <v>12728</v>
      </c>
      <c r="J4929" s="5">
        <v>515</v>
      </c>
    </row>
    <row r="4930" s="2" customFormat="1" spans="1:10">
      <c r="A4930" s="6">
        <f>4928</f>
        <v>4928</v>
      </c>
      <c r="B4930" s="6" t="s">
        <v>12729</v>
      </c>
      <c r="C4930" s="6" t="s">
        <v>12</v>
      </c>
      <c r="D4930" s="6" t="s">
        <v>11447</v>
      </c>
      <c r="E4930" s="6" t="s">
        <v>12622</v>
      </c>
      <c r="F4930" s="6" t="s">
        <v>12730</v>
      </c>
      <c r="G4930" s="6" t="s">
        <v>16</v>
      </c>
      <c r="H4930" s="5">
        <v>1</v>
      </c>
      <c r="I4930" s="6" t="s">
        <v>12730</v>
      </c>
      <c r="J4930" s="5">
        <v>280</v>
      </c>
    </row>
    <row r="4931" s="2" customFormat="1" spans="1:10">
      <c r="A4931" s="6">
        <f>4929</f>
        <v>4929</v>
      </c>
      <c r="B4931" s="6" t="s">
        <v>12731</v>
      </c>
      <c r="C4931" s="6" t="s">
        <v>12</v>
      </c>
      <c r="D4931" s="6" t="s">
        <v>11447</v>
      </c>
      <c r="E4931" s="6" t="s">
        <v>12622</v>
      </c>
      <c r="F4931" s="6" t="s">
        <v>12732</v>
      </c>
      <c r="G4931" s="6" t="s">
        <v>16</v>
      </c>
      <c r="H4931" s="5">
        <v>1</v>
      </c>
      <c r="I4931" s="6" t="s">
        <v>12732</v>
      </c>
      <c r="J4931" s="5">
        <v>208</v>
      </c>
    </row>
    <row r="4932" s="2" customFormat="1" spans="1:10">
      <c r="A4932" s="6">
        <f>4930</f>
        <v>4930</v>
      </c>
      <c r="B4932" s="6" t="s">
        <v>12733</v>
      </c>
      <c r="C4932" s="6" t="s">
        <v>12</v>
      </c>
      <c r="D4932" s="6" t="s">
        <v>11447</v>
      </c>
      <c r="E4932" s="6" t="s">
        <v>12622</v>
      </c>
      <c r="F4932" s="6" t="s">
        <v>12734</v>
      </c>
      <c r="G4932" s="6" t="s">
        <v>16</v>
      </c>
      <c r="H4932" s="5">
        <v>1</v>
      </c>
      <c r="I4932" s="6" t="s">
        <v>12734</v>
      </c>
      <c r="J4932" s="5">
        <v>275</v>
      </c>
    </row>
    <row r="4933" s="2" customFormat="1" spans="1:10">
      <c r="A4933" s="6">
        <f>4931</f>
        <v>4931</v>
      </c>
      <c r="B4933" s="6" t="s">
        <v>12735</v>
      </c>
      <c r="C4933" s="6" t="s">
        <v>12</v>
      </c>
      <c r="D4933" s="6" t="s">
        <v>11447</v>
      </c>
      <c r="E4933" s="6" t="s">
        <v>12622</v>
      </c>
      <c r="F4933" s="6" t="s">
        <v>12736</v>
      </c>
      <c r="G4933" s="6" t="s">
        <v>16</v>
      </c>
      <c r="H4933" s="5">
        <v>3</v>
      </c>
      <c r="I4933" s="6" t="s">
        <v>12737</v>
      </c>
      <c r="J4933" s="5">
        <v>975</v>
      </c>
    </row>
    <row r="4934" s="2" customFormat="1" spans="1:10">
      <c r="A4934" s="6">
        <f>4932</f>
        <v>4932</v>
      </c>
      <c r="B4934" s="6" t="s">
        <v>12738</v>
      </c>
      <c r="C4934" s="6" t="s">
        <v>12</v>
      </c>
      <c r="D4934" s="6" t="s">
        <v>11447</v>
      </c>
      <c r="E4934" s="6" t="s">
        <v>12622</v>
      </c>
      <c r="F4934" s="6" t="s">
        <v>12048</v>
      </c>
      <c r="G4934" s="6" t="s">
        <v>16</v>
      </c>
      <c r="H4934" s="5">
        <v>1</v>
      </c>
      <c r="I4934" s="6" t="s">
        <v>12048</v>
      </c>
      <c r="J4934" s="5">
        <v>208</v>
      </c>
    </row>
    <row r="4935" s="2" customFormat="1" ht="27" spans="1:10">
      <c r="A4935" s="6">
        <f>4933</f>
        <v>4933</v>
      </c>
      <c r="B4935" s="6" t="s">
        <v>12739</v>
      </c>
      <c r="C4935" s="6" t="s">
        <v>12</v>
      </c>
      <c r="D4935" s="6" t="s">
        <v>11447</v>
      </c>
      <c r="E4935" s="6" t="s">
        <v>12622</v>
      </c>
      <c r="F4935" s="6" t="s">
        <v>12740</v>
      </c>
      <c r="G4935" s="6" t="s">
        <v>16</v>
      </c>
      <c r="H4935" s="5">
        <v>4</v>
      </c>
      <c r="I4935" s="6" t="s">
        <v>12741</v>
      </c>
      <c r="J4935" s="5">
        <v>872</v>
      </c>
    </row>
    <row r="4936" s="2" customFormat="1" spans="1:10">
      <c r="A4936" s="6">
        <f>4934</f>
        <v>4934</v>
      </c>
      <c r="B4936" s="6" t="s">
        <v>12742</v>
      </c>
      <c r="C4936" s="6" t="s">
        <v>12</v>
      </c>
      <c r="D4936" s="6" t="s">
        <v>11447</v>
      </c>
      <c r="E4936" s="6" t="s">
        <v>12622</v>
      </c>
      <c r="F4936" s="6" t="s">
        <v>12743</v>
      </c>
      <c r="G4936" s="6" t="s">
        <v>16</v>
      </c>
      <c r="H4936" s="5">
        <v>3</v>
      </c>
      <c r="I4936" s="6" t="s">
        <v>12744</v>
      </c>
      <c r="J4936" s="5">
        <v>730</v>
      </c>
    </row>
    <row r="4937" s="2" customFormat="1" ht="27" spans="1:10">
      <c r="A4937" s="6">
        <f>4935</f>
        <v>4935</v>
      </c>
      <c r="B4937" s="6" t="s">
        <v>12745</v>
      </c>
      <c r="C4937" s="6" t="s">
        <v>12</v>
      </c>
      <c r="D4937" s="6" t="s">
        <v>11447</v>
      </c>
      <c r="E4937" s="6" t="s">
        <v>12622</v>
      </c>
      <c r="F4937" s="6" t="s">
        <v>12746</v>
      </c>
      <c r="G4937" s="6" t="s">
        <v>16</v>
      </c>
      <c r="H4937" s="5">
        <v>4</v>
      </c>
      <c r="I4937" s="6" t="s">
        <v>12747</v>
      </c>
      <c r="J4937" s="5">
        <v>890</v>
      </c>
    </row>
    <row r="4938" s="2" customFormat="1" spans="1:10">
      <c r="A4938" s="6">
        <f>4936</f>
        <v>4936</v>
      </c>
      <c r="B4938" s="6" t="s">
        <v>12748</v>
      </c>
      <c r="C4938" s="6" t="s">
        <v>12</v>
      </c>
      <c r="D4938" s="6" t="s">
        <v>11447</v>
      </c>
      <c r="E4938" s="6" t="s">
        <v>12622</v>
      </c>
      <c r="F4938" s="6" t="s">
        <v>12749</v>
      </c>
      <c r="G4938" s="6" t="s">
        <v>16</v>
      </c>
      <c r="H4938" s="5">
        <v>1</v>
      </c>
      <c r="I4938" s="6" t="s">
        <v>12749</v>
      </c>
      <c r="J4938" s="5">
        <v>255</v>
      </c>
    </row>
    <row r="4939" s="2" customFormat="1" spans="1:10">
      <c r="A4939" s="6">
        <f>4937</f>
        <v>4937</v>
      </c>
      <c r="B4939" s="6" t="s">
        <v>12750</v>
      </c>
      <c r="C4939" s="6" t="s">
        <v>12</v>
      </c>
      <c r="D4939" s="6" t="s">
        <v>11447</v>
      </c>
      <c r="E4939" s="6" t="s">
        <v>12622</v>
      </c>
      <c r="F4939" s="6" t="s">
        <v>12751</v>
      </c>
      <c r="G4939" s="6" t="s">
        <v>16</v>
      </c>
      <c r="H4939" s="5">
        <v>3</v>
      </c>
      <c r="I4939" s="6" t="s">
        <v>12752</v>
      </c>
      <c r="J4939" s="5">
        <v>395</v>
      </c>
    </row>
    <row r="4940" s="2" customFormat="1" spans="1:10">
      <c r="A4940" s="6">
        <f>4938</f>
        <v>4938</v>
      </c>
      <c r="B4940" s="6" t="s">
        <v>12753</v>
      </c>
      <c r="C4940" s="6" t="s">
        <v>12</v>
      </c>
      <c r="D4940" s="6" t="s">
        <v>11447</v>
      </c>
      <c r="E4940" s="6" t="s">
        <v>12622</v>
      </c>
      <c r="F4940" s="6" t="s">
        <v>12754</v>
      </c>
      <c r="G4940" s="6" t="s">
        <v>16</v>
      </c>
      <c r="H4940" s="5">
        <v>2</v>
      </c>
      <c r="I4940" s="6" t="s">
        <v>12755</v>
      </c>
      <c r="J4940" s="5">
        <v>532</v>
      </c>
    </row>
    <row r="4941" s="2" customFormat="1" spans="1:10">
      <c r="A4941" s="6">
        <f>4939</f>
        <v>4939</v>
      </c>
      <c r="B4941" s="6" t="s">
        <v>12756</v>
      </c>
      <c r="C4941" s="6" t="s">
        <v>12</v>
      </c>
      <c r="D4941" s="6" t="s">
        <v>11447</v>
      </c>
      <c r="E4941" s="6" t="s">
        <v>12622</v>
      </c>
      <c r="F4941" s="6" t="s">
        <v>12757</v>
      </c>
      <c r="G4941" s="6" t="s">
        <v>16</v>
      </c>
      <c r="H4941" s="5">
        <v>1</v>
      </c>
      <c r="I4941" s="6" t="s">
        <v>12757</v>
      </c>
      <c r="J4941" s="5">
        <v>205</v>
      </c>
    </row>
    <row r="4942" s="2" customFormat="1" spans="1:10">
      <c r="A4942" s="6">
        <f>4940</f>
        <v>4940</v>
      </c>
      <c r="B4942" s="6" t="s">
        <v>12758</v>
      </c>
      <c r="C4942" s="6" t="s">
        <v>12</v>
      </c>
      <c r="D4942" s="6" t="s">
        <v>11447</v>
      </c>
      <c r="E4942" s="6" t="s">
        <v>12622</v>
      </c>
      <c r="F4942" s="6" t="s">
        <v>12759</v>
      </c>
      <c r="G4942" s="6" t="s">
        <v>16</v>
      </c>
      <c r="H4942" s="5">
        <v>1</v>
      </c>
      <c r="I4942" s="6" t="s">
        <v>12759</v>
      </c>
      <c r="J4942" s="5">
        <v>540</v>
      </c>
    </row>
    <row r="4943" s="2" customFormat="1" spans="1:10">
      <c r="A4943" s="6">
        <f>4941</f>
        <v>4941</v>
      </c>
      <c r="B4943" s="6" t="s">
        <v>12760</v>
      </c>
      <c r="C4943" s="6" t="s">
        <v>12</v>
      </c>
      <c r="D4943" s="6" t="s">
        <v>11447</v>
      </c>
      <c r="E4943" s="6" t="s">
        <v>12622</v>
      </c>
      <c r="F4943" s="6" t="s">
        <v>12761</v>
      </c>
      <c r="G4943" s="6" t="s">
        <v>16</v>
      </c>
      <c r="H4943" s="5">
        <v>1</v>
      </c>
      <c r="I4943" s="6" t="s">
        <v>12761</v>
      </c>
      <c r="J4943" s="5">
        <v>188</v>
      </c>
    </row>
    <row r="4944" s="2" customFormat="1" spans="1:10">
      <c r="A4944" s="6">
        <f>4942</f>
        <v>4942</v>
      </c>
      <c r="B4944" s="6" t="s">
        <v>12762</v>
      </c>
      <c r="C4944" s="6" t="s">
        <v>12</v>
      </c>
      <c r="D4944" s="6" t="s">
        <v>11447</v>
      </c>
      <c r="E4944" s="6" t="s">
        <v>12622</v>
      </c>
      <c r="F4944" s="6" t="s">
        <v>12763</v>
      </c>
      <c r="G4944" s="6" t="s">
        <v>16</v>
      </c>
      <c r="H4944" s="5">
        <v>2</v>
      </c>
      <c r="I4944" s="6" t="s">
        <v>12764</v>
      </c>
      <c r="J4944" s="5">
        <v>480</v>
      </c>
    </row>
    <row r="4945" s="2" customFormat="1" ht="27" spans="1:10">
      <c r="A4945" s="6">
        <f>4943</f>
        <v>4943</v>
      </c>
      <c r="B4945" s="6" t="s">
        <v>12765</v>
      </c>
      <c r="C4945" s="6" t="s">
        <v>12</v>
      </c>
      <c r="D4945" s="6" t="s">
        <v>11447</v>
      </c>
      <c r="E4945" s="6" t="s">
        <v>12622</v>
      </c>
      <c r="F4945" s="6" t="s">
        <v>12766</v>
      </c>
      <c r="G4945" s="6" t="s">
        <v>16</v>
      </c>
      <c r="H4945" s="5">
        <v>4</v>
      </c>
      <c r="I4945" s="6" t="s">
        <v>12767</v>
      </c>
      <c r="J4945" s="5">
        <v>940</v>
      </c>
    </row>
    <row r="4946" s="2" customFormat="1" spans="1:10">
      <c r="A4946" s="6">
        <f>4944</f>
        <v>4944</v>
      </c>
      <c r="B4946" s="6" t="s">
        <v>12768</v>
      </c>
      <c r="C4946" s="6" t="s">
        <v>12</v>
      </c>
      <c r="D4946" s="6" t="s">
        <v>11447</v>
      </c>
      <c r="E4946" s="6" t="s">
        <v>12622</v>
      </c>
      <c r="F4946" s="6" t="s">
        <v>12769</v>
      </c>
      <c r="G4946" s="6" t="s">
        <v>16</v>
      </c>
      <c r="H4946" s="5">
        <v>1</v>
      </c>
      <c r="I4946" s="6" t="s">
        <v>12769</v>
      </c>
      <c r="J4946" s="5">
        <v>420</v>
      </c>
    </row>
    <row r="4947" s="2" customFormat="1" spans="1:10">
      <c r="A4947" s="6">
        <f>4945</f>
        <v>4945</v>
      </c>
      <c r="B4947" s="6" t="s">
        <v>12770</v>
      </c>
      <c r="C4947" s="6" t="s">
        <v>12</v>
      </c>
      <c r="D4947" s="6" t="s">
        <v>11447</v>
      </c>
      <c r="E4947" s="6" t="s">
        <v>12622</v>
      </c>
      <c r="F4947" s="6" t="s">
        <v>12771</v>
      </c>
      <c r="G4947" s="6" t="s">
        <v>16</v>
      </c>
      <c r="H4947" s="5">
        <v>1</v>
      </c>
      <c r="I4947" s="6" t="s">
        <v>12771</v>
      </c>
      <c r="J4947" s="5">
        <v>247</v>
      </c>
    </row>
    <row r="4948" s="2" customFormat="1" spans="1:10">
      <c r="A4948" s="6">
        <f>4946</f>
        <v>4946</v>
      </c>
      <c r="B4948" s="6" t="s">
        <v>12772</v>
      </c>
      <c r="C4948" s="6" t="s">
        <v>12</v>
      </c>
      <c r="D4948" s="6" t="s">
        <v>11447</v>
      </c>
      <c r="E4948" s="6" t="s">
        <v>12622</v>
      </c>
      <c r="F4948" s="6" t="s">
        <v>12773</v>
      </c>
      <c r="G4948" s="6" t="s">
        <v>16</v>
      </c>
      <c r="H4948" s="5">
        <v>1</v>
      </c>
      <c r="I4948" s="6" t="s">
        <v>12773</v>
      </c>
      <c r="J4948" s="5">
        <v>238</v>
      </c>
    </row>
    <row r="4949" s="2" customFormat="1" spans="1:10">
      <c r="A4949" s="6">
        <f>4947</f>
        <v>4947</v>
      </c>
      <c r="B4949" s="6" t="s">
        <v>12774</v>
      </c>
      <c r="C4949" s="6" t="s">
        <v>12</v>
      </c>
      <c r="D4949" s="6" t="s">
        <v>11447</v>
      </c>
      <c r="E4949" s="6" t="s">
        <v>12622</v>
      </c>
      <c r="F4949" s="6" t="s">
        <v>12775</v>
      </c>
      <c r="G4949" s="6" t="s">
        <v>16</v>
      </c>
      <c r="H4949" s="5">
        <v>1</v>
      </c>
      <c r="I4949" s="6" t="s">
        <v>12775</v>
      </c>
      <c r="J4949" s="5">
        <v>238</v>
      </c>
    </row>
    <row r="4950" s="2" customFormat="1" spans="1:10">
      <c r="A4950" s="6">
        <f>4948</f>
        <v>4948</v>
      </c>
      <c r="B4950" s="6" t="s">
        <v>12776</v>
      </c>
      <c r="C4950" s="6" t="s">
        <v>12</v>
      </c>
      <c r="D4950" s="6" t="s">
        <v>11447</v>
      </c>
      <c r="E4950" s="6" t="s">
        <v>12622</v>
      </c>
      <c r="F4950" s="6" t="s">
        <v>12777</v>
      </c>
      <c r="G4950" s="6" t="s">
        <v>16</v>
      </c>
      <c r="H4950" s="5">
        <v>1</v>
      </c>
      <c r="I4950" s="6" t="s">
        <v>12777</v>
      </c>
      <c r="J4950" s="5">
        <v>460</v>
      </c>
    </row>
    <row r="4951" s="2" customFormat="1" spans="1:10">
      <c r="A4951" s="6">
        <f>4949</f>
        <v>4949</v>
      </c>
      <c r="B4951" s="6" t="s">
        <v>12778</v>
      </c>
      <c r="C4951" s="6" t="s">
        <v>12</v>
      </c>
      <c r="D4951" s="6" t="s">
        <v>11447</v>
      </c>
      <c r="E4951" s="6" t="s">
        <v>12622</v>
      </c>
      <c r="F4951" s="6" t="s">
        <v>12779</v>
      </c>
      <c r="G4951" s="6" t="s">
        <v>16</v>
      </c>
      <c r="H4951" s="5">
        <v>1</v>
      </c>
      <c r="I4951" s="6" t="s">
        <v>12779</v>
      </c>
      <c r="J4951" s="5">
        <v>573</v>
      </c>
    </row>
    <row r="4952" s="2" customFormat="1" spans="1:10">
      <c r="A4952" s="6">
        <f>4950</f>
        <v>4950</v>
      </c>
      <c r="B4952" s="6" t="s">
        <v>12780</v>
      </c>
      <c r="C4952" s="6" t="s">
        <v>12</v>
      </c>
      <c r="D4952" s="6" t="s">
        <v>11447</v>
      </c>
      <c r="E4952" s="6" t="s">
        <v>12622</v>
      </c>
      <c r="F4952" s="6" t="s">
        <v>12781</v>
      </c>
      <c r="G4952" s="6" t="s">
        <v>16</v>
      </c>
      <c r="H4952" s="5">
        <v>2</v>
      </c>
      <c r="I4952" s="6" t="s">
        <v>12782</v>
      </c>
      <c r="J4952" s="5">
        <v>420</v>
      </c>
    </row>
    <row r="4953" s="2" customFormat="1" spans="1:10">
      <c r="A4953" s="6">
        <f>4951</f>
        <v>4951</v>
      </c>
      <c r="B4953" s="6" t="s">
        <v>12783</v>
      </c>
      <c r="C4953" s="6" t="s">
        <v>12</v>
      </c>
      <c r="D4953" s="6" t="s">
        <v>11447</v>
      </c>
      <c r="E4953" s="6" t="s">
        <v>12622</v>
      </c>
      <c r="F4953" s="6" t="s">
        <v>12784</v>
      </c>
      <c r="G4953" s="6" t="s">
        <v>16</v>
      </c>
      <c r="H4953" s="5">
        <v>2</v>
      </c>
      <c r="I4953" s="6" t="s">
        <v>12785</v>
      </c>
      <c r="J4953" s="5">
        <v>880</v>
      </c>
    </row>
    <row r="4954" s="2" customFormat="1" spans="1:10">
      <c r="A4954" s="6">
        <f>4952</f>
        <v>4952</v>
      </c>
      <c r="B4954" s="6" t="s">
        <v>12786</v>
      </c>
      <c r="C4954" s="6" t="s">
        <v>12</v>
      </c>
      <c r="D4954" s="6" t="s">
        <v>11447</v>
      </c>
      <c r="E4954" s="6" t="s">
        <v>12622</v>
      </c>
      <c r="F4954" s="6" t="s">
        <v>12787</v>
      </c>
      <c r="G4954" s="6" t="s">
        <v>16</v>
      </c>
      <c r="H4954" s="5">
        <v>1</v>
      </c>
      <c r="I4954" s="6" t="s">
        <v>12787</v>
      </c>
      <c r="J4954" s="5">
        <v>268</v>
      </c>
    </row>
    <row r="4955" s="2" customFormat="1" spans="1:10">
      <c r="A4955" s="6">
        <f>4953</f>
        <v>4953</v>
      </c>
      <c r="B4955" s="6" t="s">
        <v>12788</v>
      </c>
      <c r="C4955" s="6" t="s">
        <v>12</v>
      </c>
      <c r="D4955" s="6" t="s">
        <v>11447</v>
      </c>
      <c r="E4955" s="6" t="s">
        <v>12622</v>
      </c>
      <c r="F4955" s="6" t="s">
        <v>12789</v>
      </c>
      <c r="G4955" s="6" t="s">
        <v>16</v>
      </c>
      <c r="H4955" s="5">
        <v>1</v>
      </c>
      <c r="I4955" s="6" t="s">
        <v>12789</v>
      </c>
      <c r="J4955" s="5">
        <v>218</v>
      </c>
    </row>
    <row r="4956" s="2" customFormat="1" spans="1:10">
      <c r="A4956" s="6">
        <f>4954</f>
        <v>4954</v>
      </c>
      <c r="B4956" s="6" t="s">
        <v>12790</v>
      </c>
      <c r="C4956" s="6" t="s">
        <v>12</v>
      </c>
      <c r="D4956" s="6" t="s">
        <v>11447</v>
      </c>
      <c r="E4956" s="6" t="s">
        <v>12622</v>
      </c>
      <c r="F4956" s="6" t="s">
        <v>12791</v>
      </c>
      <c r="G4956" s="6" t="s">
        <v>16</v>
      </c>
      <c r="H4956" s="5">
        <v>2</v>
      </c>
      <c r="I4956" s="6" t="s">
        <v>12792</v>
      </c>
      <c r="J4956" s="5">
        <v>410</v>
      </c>
    </row>
    <row r="4957" s="2" customFormat="1" spans="1:10">
      <c r="A4957" s="6">
        <f>4955</f>
        <v>4955</v>
      </c>
      <c r="B4957" s="6" t="s">
        <v>12793</v>
      </c>
      <c r="C4957" s="6" t="s">
        <v>12</v>
      </c>
      <c r="D4957" s="6" t="s">
        <v>11447</v>
      </c>
      <c r="E4957" s="6" t="s">
        <v>12622</v>
      </c>
      <c r="F4957" s="6" t="s">
        <v>12794</v>
      </c>
      <c r="G4957" s="6" t="s">
        <v>16</v>
      </c>
      <c r="H4957" s="5">
        <v>2</v>
      </c>
      <c r="I4957" s="6" t="s">
        <v>12795</v>
      </c>
      <c r="J4957" s="5">
        <v>800</v>
      </c>
    </row>
    <row r="4958" s="2" customFormat="1" spans="1:10">
      <c r="A4958" s="6">
        <f>4956</f>
        <v>4956</v>
      </c>
      <c r="B4958" s="6" t="s">
        <v>12796</v>
      </c>
      <c r="C4958" s="6" t="s">
        <v>12</v>
      </c>
      <c r="D4958" s="6" t="s">
        <v>11447</v>
      </c>
      <c r="E4958" s="6" t="s">
        <v>12622</v>
      </c>
      <c r="F4958" s="6" t="s">
        <v>12797</v>
      </c>
      <c r="G4958" s="6" t="s">
        <v>16</v>
      </c>
      <c r="H4958" s="5">
        <v>2</v>
      </c>
      <c r="I4958" s="6" t="s">
        <v>12798</v>
      </c>
      <c r="J4958" s="5">
        <v>366</v>
      </c>
    </row>
    <row r="4959" s="2" customFormat="1" spans="1:10">
      <c r="A4959" s="6">
        <f>4957</f>
        <v>4957</v>
      </c>
      <c r="B4959" s="6" t="s">
        <v>12799</v>
      </c>
      <c r="C4959" s="6" t="s">
        <v>12</v>
      </c>
      <c r="D4959" s="6" t="s">
        <v>11447</v>
      </c>
      <c r="E4959" s="6" t="s">
        <v>12622</v>
      </c>
      <c r="F4959" s="6" t="s">
        <v>12800</v>
      </c>
      <c r="G4959" s="6" t="s">
        <v>16</v>
      </c>
      <c r="H4959" s="5">
        <v>1</v>
      </c>
      <c r="I4959" s="6" t="s">
        <v>12800</v>
      </c>
      <c r="J4959" s="5">
        <v>248</v>
      </c>
    </row>
    <row r="4960" s="2" customFormat="1" spans="1:10">
      <c r="A4960" s="6">
        <f>4958</f>
        <v>4958</v>
      </c>
      <c r="B4960" s="6" t="s">
        <v>12801</v>
      </c>
      <c r="C4960" s="6" t="s">
        <v>12</v>
      </c>
      <c r="D4960" s="6" t="s">
        <v>11447</v>
      </c>
      <c r="E4960" s="6" t="s">
        <v>12622</v>
      </c>
      <c r="F4960" s="6" t="s">
        <v>12802</v>
      </c>
      <c r="G4960" s="6" t="s">
        <v>16</v>
      </c>
      <c r="H4960" s="5">
        <v>1</v>
      </c>
      <c r="I4960" s="6" t="s">
        <v>12802</v>
      </c>
      <c r="J4960" s="5">
        <v>188</v>
      </c>
    </row>
    <row r="4961" s="2" customFormat="1" spans="1:10">
      <c r="A4961" s="6">
        <f>4959</f>
        <v>4959</v>
      </c>
      <c r="B4961" s="6" t="s">
        <v>12803</v>
      </c>
      <c r="C4961" s="6" t="s">
        <v>12</v>
      </c>
      <c r="D4961" s="6" t="s">
        <v>11447</v>
      </c>
      <c r="E4961" s="6" t="s">
        <v>12622</v>
      </c>
      <c r="F4961" s="6" t="s">
        <v>12804</v>
      </c>
      <c r="G4961" s="6" t="s">
        <v>16</v>
      </c>
      <c r="H4961" s="5">
        <v>2</v>
      </c>
      <c r="I4961" s="6" t="s">
        <v>12805</v>
      </c>
      <c r="J4961" s="5">
        <v>680</v>
      </c>
    </row>
    <row r="4962" s="2" customFormat="1" spans="1:10">
      <c r="A4962" s="6">
        <f>4960</f>
        <v>4960</v>
      </c>
      <c r="B4962" s="6" t="s">
        <v>12806</v>
      </c>
      <c r="C4962" s="6" t="s">
        <v>12</v>
      </c>
      <c r="D4962" s="6" t="s">
        <v>11447</v>
      </c>
      <c r="E4962" s="6" t="s">
        <v>12622</v>
      </c>
      <c r="F4962" s="6" t="s">
        <v>12807</v>
      </c>
      <c r="G4962" s="6" t="s">
        <v>16</v>
      </c>
      <c r="H4962" s="5">
        <v>3</v>
      </c>
      <c r="I4962" s="6" t="s">
        <v>12808</v>
      </c>
      <c r="J4962" s="5">
        <v>684</v>
      </c>
    </row>
    <row r="4963" s="2" customFormat="1" spans="1:10">
      <c r="A4963" s="6">
        <f>4961</f>
        <v>4961</v>
      </c>
      <c r="B4963" s="6" t="s">
        <v>12809</v>
      </c>
      <c r="C4963" s="6" t="s">
        <v>12</v>
      </c>
      <c r="D4963" s="6" t="s">
        <v>11447</v>
      </c>
      <c r="E4963" s="6" t="s">
        <v>12622</v>
      </c>
      <c r="F4963" s="6" t="s">
        <v>12810</v>
      </c>
      <c r="G4963" s="6" t="s">
        <v>16</v>
      </c>
      <c r="H4963" s="5">
        <v>1</v>
      </c>
      <c r="I4963" s="6" t="s">
        <v>12810</v>
      </c>
      <c r="J4963" s="5">
        <v>255</v>
      </c>
    </row>
    <row r="4964" s="2" customFormat="1" spans="1:10">
      <c r="A4964" s="6">
        <f>4962</f>
        <v>4962</v>
      </c>
      <c r="B4964" s="6" t="s">
        <v>12811</v>
      </c>
      <c r="C4964" s="6" t="s">
        <v>12</v>
      </c>
      <c r="D4964" s="6" t="s">
        <v>11447</v>
      </c>
      <c r="E4964" s="6" t="s">
        <v>12622</v>
      </c>
      <c r="F4964" s="6" t="s">
        <v>12812</v>
      </c>
      <c r="G4964" s="6" t="s">
        <v>16</v>
      </c>
      <c r="H4964" s="5">
        <v>1</v>
      </c>
      <c r="I4964" s="6" t="s">
        <v>12812</v>
      </c>
      <c r="J4964" s="5">
        <v>278</v>
      </c>
    </row>
    <row r="4965" s="2" customFormat="1" ht="27" spans="1:10">
      <c r="A4965" s="6">
        <f>4963</f>
        <v>4963</v>
      </c>
      <c r="B4965" s="6" t="s">
        <v>12813</v>
      </c>
      <c r="C4965" s="6" t="s">
        <v>12</v>
      </c>
      <c r="D4965" s="6" t="s">
        <v>11447</v>
      </c>
      <c r="E4965" s="6" t="s">
        <v>12622</v>
      </c>
      <c r="F4965" s="6" t="s">
        <v>12814</v>
      </c>
      <c r="G4965" s="6" t="s">
        <v>16</v>
      </c>
      <c r="H4965" s="5">
        <v>6</v>
      </c>
      <c r="I4965" s="6" t="s">
        <v>12815</v>
      </c>
      <c r="J4965" s="5">
        <v>1160</v>
      </c>
    </row>
    <row r="4966" s="2" customFormat="1" spans="1:10">
      <c r="A4966" s="6">
        <f>4964</f>
        <v>4964</v>
      </c>
      <c r="B4966" s="6" t="s">
        <v>12816</v>
      </c>
      <c r="C4966" s="6" t="s">
        <v>12</v>
      </c>
      <c r="D4966" s="6" t="s">
        <v>11447</v>
      </c>
      <c r="E4966" s="6" t="s">
        <v>12622</v>
      </c>
      <c r="F4966" s="6" t="s">
        <v>12817</v>
      </c>
      <c r="G4966" s="6" t="s">
        <v>16</v>
      </c>
      <c r="H4966" s="5">
        <v>4</v>
      </c>
      <c r="I4966" s="6" t="s">
        <v>12818</v>
      </c>
      <c r="J4966" s="5">
        <v>1200</v>
      </c>
    </row>
    <row r="4967" s="2" customFormat="1" spans="1:10">
      <c r="A4967" s="6">
        <f>4965</f>
        <v>4965</v>
      </c>
      <c r="B4967" s="6" t="s">
        <v>12819</v>
      </c>
      <c r="C4967" s="6" t="s">
        <v>12</v>
      </c>
      <c r="D4967" s="6" t="s">
        <v>11447</v>
      </c>
      <c r="E4967" s="6" t="s">
        <v>12622</v>
      </c>
      <c r="F4967" s="6" t="s">
        <v>12820</v>
      </c>
      <c r="G4967" s="6" t="s">
        <v>16</v>
      </c>
      <c r="H4967" s="5">
        <v>1</v>
      </c>
      <c r="I4967" s="6" t="s">
        <v>12820</v>
      </c>
      <c r="J4967" s="5">
        <v>235</v>
      </c>
    </row>
    <row r="4968" s="2" customFormat="1" spans="1:10">
      <c r="A4968" s="6">
        <f>4966</f>
        <v>4966</v>
      </c>
      <c r="B4968" s="6" t="s">
        <v>12821</v>
      </c>
      <c r="C4968" s="6" t="s">
        <v>12</v>
      </c>
      <c r="D4968" s="6" t="s">
        <v>11447</v>
      </c>
      <c r="E4968" s="6" t="s">
        <v>12822</v>
      </c>
      <c r="F4968" s="6" t="s">
        <v>12823</v>
      </c>
      <c r="G4968" s="6" t="s">
        <v>16</v>
      </c>
      <c r="H4968" s="5">
        <v>1</v>
      </c>
      <c r="I4968" s="6" t="s">
        <v>12823</v>
      </c>
      <c r="J4968" s="5">
        <v>320</v>
      </c>
    </row>
    <row r="4969" s="2" customFormat="1" spans="1:10">
      <c r="A4969" s="6">
        <f>4967</f>
        <v>4967</v>
      </c>
      <c r="B4969" s="6" t="s">
        <v>12824</v>
      </c>
      <c r="C4969" s="6" t="s">
        <v>12</v>
      </c>
      <c r="D4969" s="6" t="s">
        <v>11447</v>
      </c>
      <c r="E4969" s="6" t="s">
        <v>12822</v>
      </c>
      <c r="F4969" s="6" t="s">
        <v>12825</v>
      </c>
      <c r="G4969" s="6" t="s">
        <v>16</v>
      </c>
      <c r="H4969" s="5">
        <v>1</v>
      </c>
      <c r="I4969" s="6" t="s">
        <v>12825</v>
      </c>
      <c r="J4969" s="5">
        <v>330</v>
      </c>
    </row>
    <row r="4970" s="2" customFormat="1" spans="1:10">
      <c r="A4970" s="6">
        <f>4968</f>
        <v>4968</v>
      </c>
      <c r="B4970" s="6" t="s">
        <v>12826</v>
      </c>
      <c r="C4970" s="6" t="s">
        <v>12</v>
      </c>
      <c r="D4970" s="6" t="s">
        <v>11447</v>
      </c>
      <c r="E4970" s="6" t="s">
        <v>12822</v>
      </c>
      <c r="F4970" s="6" t="s">
        <v>12827</v>
      </c>
      <c r="G4970" s="6" t="s">
        <v>16</v>
      </c>
      <c r="H4970" s="5">
        <v>2</v>
      </c>
      <c r="I4970" s="6" t="s">
        <v>12828</v>
      </c>
      <c r="J4970" s="5">
        <v>520</v>
      </c>
    </row>
    <row r="4971" s="2" customFormat="1" spans="1:10">
      <c r="A4971" s="6">
        <f>4969</f>
        <v>4969</v>
      </c>
      <c r="B4971" s="6" t="s">
        <v>12829</v>
      </c>
      <c r="C4971" s="6" t="s">
        <v>12</v>
      </c>
      <c r="D4971" s="6" t="s">
        <v>11447</v>
      </c>
      <c r="E4971" s="6" t="s">
        <v>12822</v>
      </c>
      <c r="F4971" s="6" t="s">
        <v>12830</v>
      </c>
      <c r="G4971" s="6" t="s">
        <v>16</v>
      </c>
      <c r="H4971" s="5">
        <v>1</v>
      </c>
      <c r="I4971" s="6" t="s">
        <v>12830</v>
      </c>
      <c r="J4971" s="5">
        <v>360</v>
      </c>
    </row>
    <row r="4972" s="2" customFormat="1" ht="27" spans="1:10">
      <c r="A4972" s="6">
        <f>4970</f>
        <v>4970</v>
      </c>
      <c r="B4972" s="6" t="s">
        <v>12831</v>
      </c>
      <c r="C4972" s="6" t="s">
        <v>12</v>
      </c>
      <c r="D4972" s="6" t="s">
        <v>11447</v>
      </c>
      <c r="E4972" s="6" t="s">
        <v>12822</v>
      </c>
      <c r="F4972" s="6" t="s">
        <v>12832</v>
      </c>
      <c r="G4972" s="6" t="s">
        <v>16</v>
      </c>
      <c r="H4972" s="5">
        <v>4</v>
      </c>
      <c r="I4972" s="6" t="s">
        <v>12833</v>
      </c>
      <c r="J4972" s="5">
        <v>1200</v>
      </c>
    </row>
    <row r="4973" s="2" customFormat="1" spans="1:10">
      <c r="A4973" s="6">
        <f>4971</f>
        <v>4971</v>
      </c>
      <c r="B4973" s="6" t="s">
        <v>12834</v>
      </c>
      <c r="C4973" s="6" t="s">
        <v>12</v>
      </c>
      <c r="D4973" s="6" t="s">
        <v>11447</v>
      </c>
      <c r="E4973" s="6" t="s">
        <v>12822</v>
      </c>
      <c r="F4973" s="6" t="s">
        <v>12835</v>
      </c>
      <c r="G4973" s="6" t="s">
        <v>16</v>
      </c>
      <c r="H4973" s="5">
        <v>1</v>
      </c>
      <c r="I4973" s="6" t="s">
        <v>12835</v>
      </c>
      <c r="J4973" s="5">
        <v>265</v>
      </c>
    </row>
    <row r="4974" s="2" customFormat="1" spans="1:10">
      <c r="A4974" s="6">
        <f>4972</f>
        <v>4972</v>
      </c>
      <c r="B4974" s="6" t="s">
        <v>12836</v>
      </c>
      <c r="C4974" s="6" t="s">
        <v>12</v>
      </c>
      <c r="D4974" s="6" t="s">
        <v>11447</v>
      </c>
      <c r="E4974" s="6" t="s">
        <v>12822</v>
      </c>
      <c r="F4974" s="6" t="s">
        <v>12837</v>
      </c>
      <c r="G4974" s="6" t="s">
        <v>16</v>
      </c>
      <c r="H4974" s="5">
        <v>1</v>
      </c>
      <c r="I4974" s="6" t="s">
        <v>12837</v>
      </c>
      <c r="J4974" s="5">
        <v>295</v>
      </c>
    </row>
    <row r="4975" s="2" customFormat="1" spans="1:10">
      <c r="A4975" s="6">
        <f>4973</f>
        <v>4973</v>
      </c>
      <c r="B4975" s="6" t="s">
        <v>12838</v>
      </c>
      <c r="C4975" s="6" t="s">
        <v>12</v>
      </c>
      <c r="D4975" s="6" t="s">
        <v>11447</v>
      </c>
      <c r="E4975" s="6" t="s">
        <v>12822</v>
      </c>
      <c r="F4975" s="6" t="s">
        <v>9209</v>
      </c>
      <c r="G4975" s="6" t="s">
        <v>16</v>
      </c>
      <c r="H4975" s="5">
        <v>1</v>
      </c>
      <c r="I4975" s="6" t="s">
        <v>9209</v>
      </c>
      <c r="J4975" s="5">
        <v>265</v>
      </c>
    </row>
    <row r="4976" s="2" customFormat="1" spans="1:10">
      <c r="A4976" s="6">
        <f>4974</f>
        <v>4974</v>
      </c>
      <c r="B4976" s="6" t="s">
        <v>12839</v>
      </c>
      <c r="C4976" s="6" t="s">
        <v>12</v>
      </c>
      <c r="D4976" s="6" t="s">
        <v>11447</v>
      </c>
      <c r="E4976" s="6" t="s">
        <v>12822</v>
      </c>
      <c r="F4976" s="6" t="s">
        <v>12840</v>
      </c>
      <c r="G4976" s="6" t="s">
        <v>16</v>
      </c>
      <c r="H4976" s="5">
        <v>1</v>
      </c>
      <c r="I4976" s="6" t="s">
        <v>12840</v>
      </c>
      <c r="J4976" s="5">
        <v>436</v>
      </c>
    </row>
    <row r="4977" s="2" customFormat="1" spans="1:10">
      <c r="A4977" s="6">
        <f>4975</f>
        <v>4975</v>
      </c>
      <c r="B4977" s="6" t="s">
        <v>12841</v>
      </c>
      <c r="C4977" s="6" t="s">
        <v>12</v>
      </c>
      <c r="D4977" s="6" t="s">
        <v>11447</v>
      </c>
      <c r="E4977" s="6" t="s">
        <v>12822</v>
      </c>
      <c r="F4977" s="6" t="s">
        <v>12842</v>
      </c>
      <c r="G4977" s="6" t="s">
        <v>16</v>
      </c>
      <c r="H4977" s="5">
        <v>2</v>
      </c>
      <c r="I4977" s="6" t="s">
        <v>12843</v>
      </c>
      <c r="J4977" s="5">
        <v>914</v>
      </c>
    </row>
    <row r="4978" s="2" customFormat="1" spans="1:10">
      <c r="A4978" s="6">
        <f>4976</f>
        <v>4976</v>
      </c>
      <c r="B4978" s="6" t="s">
        <v>12844</v>
      </c>
      <c r="C4978" s="6" t="s">
        <v>12</v>
      </c>
      <c r="D4978" s="6" t="s">
        <v>11447</v>
      </c>
      <c r="E4978" s="6" t="s">
        <v>12822</v>
      </c>
      <c r="F4978" s="6" t="s">
        <v>12845</v>
      </c>
      <c r="G4978" s="6" t="s">
        <v>16</v>
      </c>
      <c r="H4978" s="5">
        <v>3</v>
      </c>
      <c r="I4978" s="6" t="s">
        <v>12846</v>
      </c>
      <c r="J4978" s="5">
        <v>611</v>
      </c>
    </row>
    <row r="4979" s="2" customFormat="1" spans="1:10">
      <c r="A4979" s="6">
        <f>4977</f>
        <v>4977</v>
      </c>
      <c r="B4979" s="6" t="s">
        <v>12847</v>
      </c>
      <c r="C4979" s="6" t="s">
        <v>12</v>
      </c>
      <c r="D4979" s="6" t="s">
        <v>11447</v>
      </c>
      <c r="E4979" s="6" t="s">
        <v>12822</v>
      </c>
      <c r="F4979" s="6" t="s">
        <v>12848</v>
      </c>
      <c r="G4979" s="6" t="s">
        <v>16</v>
      </c>
      <c r="H4979" s="5">
        <v>3</v>
      </c>
      <c r="I4979" s="6" t="s">
        <v>12849</v>
      </c>
      <c r="J4979" s="5">
        <v>600</v>
      </c>
    </row>
    <row r="4980" s="2" customFormat="1" spans="1:10">
      <c r="A4980" s="6">
        <f>4978</f>
        <v>4978</v>
      </c>
      <c r="B4980" s="6" t="s">
        <v>12850</v>
      </c>
      <c r="C4980" s="6" t="s">
        <v>12</v>
      </c>
      <c r="D4980" s="6" t="s">
        <v>11447</v>
      </c>
      <c r="E4980" s="6" t="s">
        <v>12822</v>
      </c>
      <c r="F4980" s="6" t="s">
        <v>12851</v>
      </c>
      <c r="G4980" s="6" t="s">
        <v>16</v>
      </c>
      <c r="H4980" s="5">
        <v>1</v>
      </c>
      <c r="I4980" s="6" t="s">
        <v>12851</v>
      </c>
      <c r="J4980" s="5">
        <v>360</v>
      </c>
    </row>
    <row r="4981" s="2" customFormat="1" spans="1:10">
      <c r="A4981" s="6">
        <f>4979</f>
        <v>4979</v>
      </c>
      <c r="B4981" s="6" t="s">
        <v>12852</v>
      </c>
      <c r="C4981" s="6" t="s">
        <v>12</v>
      </c>
      <c r="D4981" s="6" t="s">
        <v>11447</v>
      </c>
      <c r="E4981" s="6" t="s">
        <v>12822</v>
      </c>
      <c r="F4981" s="6" t="s">
        <v>12853</v>
      </c>
      <c r="G4981" s="6" t="s">
        <v>16</v>
      </c>
      <c r="H4981" s="5">
        <v>2</v>
      </c>
      <c r="I4981" s="6" t="s">
        <v>12854</v>
      </c>
      <c r="J4981" s="5">
        <v>434</v>
      </c>
    </row>
    <row r="4982" s="2" customFormat="1" spans="1:10">
      <c r="A4982" s="6">
        <f>4980</f>
        <v>4980</v>
      </c>
      <c r="B4982" s="6" t="s">
        <v>12855</v>
      </c>
      <c r="C4982" s="6" t="s">
        <v>12</v>
      </c>
      <c r="D4982" s="6" t="s">
        <v>11447</v>
      </c>
      <c r="E4982" s="6" t="s">
        <v>12822</v>
      </c>
      <c r="F4982" s="6" t="s">
        <v>12856</v>
      </c>
      <c r="G4982" s="6" t="s">
        <v>16</v>
      </c>
      <c r="H4982" s="5">
        <v>1</v>
      </c>
      <c r="I4982" s="6" t="s">
        <v>12856</v>
      </c>
      <c r="J4982" s="5">
        <v>320</v>
      </c>
    </row>
    <row r="4983" s="2" customFormat="1" spans="1:10">
      <c r="A4983" s="6">
        <f>4981</f>
        <v>4981</v>
      </c>
      <c r="B4983" s="6" t="s">
        <v>12857</v>
      </c>
      <c r="C4983" s="6" t="s">
        <v>12</v>
      </c>
      <c r="D4983" s="6" t="s">
        <v>11447</v>
      </c>
      <c r="E4983" s="6" t="s">
        <v>12822</v>
      </c>
      <c r="F4983" s="6" t="s">
        <v>12858</v>
      </c>
      <c r="G4983" s="6" t="s">
        <v>16</v>
      </c>
      <c r="H4983" s="5">
        <v>2</v>
      </c>
      <c r="I4983" s="6" t="s">
        <v>12859</v>
      </c>
      <c r="J4983" s="5">
        <v>1000</v>
      </c>
    </row>
    <row r="4984" s="2" customFormat="1" spans="1:10">
      <c r="A4984" s="6">
        <f>4982</f>
        <v>4982</v>
      </c>
      <c r="B4984" s="6" t="s">
        <v>12860</v>
      </c>
      <c r="C4984" s="6" t="s">
        <v>12</v>
      </c>
      <c r="D4984" s="6" t="s">
        <v>11447</v>
      </c>
      <c r="E4984" s="6" t="s">
        <v>12822</v>
      </c>
      <c r="F4984" s="6" t="s">
        <v>12861</v>
      </c>
      <c r="G4984" s="6" t="s">
        <v>16</v>
      </c>
      <c r="H4984" s="5">
        <v>3</v>
      </c>
      <c r="I4984" s="6" t="s">
        <v>12862</v>
      </c>
      <c r="J4984" s="5">
        <v>510</v>
      </c>
    </row>
    <row r="4985" s="2" customFormat="1" spans="1:10">
      <c r="A4985" s="6">
        <f>4983</f>
        <v>4983</v>
      </c>
      <c r="B4985" s="6" t="s">
        <v>12863</v>
      </c>
      <c r="C4985" s="6" t="s">
        <v>12</v>
      </c>
      <c r="D4985" s="6" t="s">
        <v>11447</v>
      </c>
      <c r="E4985" s="6" t="s">
        <v>12822</v>
      </c>
      <c r="F4985" s="6" t="s">
        <v>12864</v>
      </c>
      <c r="G4985" s="6" t="s">
        <v>16</v>
      </c>
      <c r="H4985" s="5">
        <v>1</v>
      </c>
      <c r="I4985" s="6" t="s">
        <v>12864</v>
      </c>
      <c r="J4985" s="5">
        <v>300</v>
      </c>
    </row>
    <row r="4986" s="2" customFormat="1" ht="27" spans="1:10">
      <c r="A4986" s="6">
        <f>4984</f>
        <v>4984</v>
      </c>
      <c r="B4986" s="6" t="s">
        <v>12865</v>
      </c>
      <c r="C4986" s="6" t="s">
        <v>12</v>
      </c>
      <c r="D4986" s="6" t="s">
        <v>11447</v>
      </c>
      <c r="E4986" s="6" t="s">
        <v>12822</v>
      </c>
      <c r="F4986" s="6" t="s">
        <v>12866</v>
      </c>
      <c r="G4986" s="6" t="s">
        <v>16</v>
      </c>
      <c r="H4986" s="5">
        <v>5</v>
      </c>
      <c r="I4986" s="6" t="s">
        <v>12867</v>
      </c>
      <c r="J4986" s="5">
        <v>750</v>
      </c>
    </row>
    <row r="4987" s="2" customFormat="1" spans="1:10">
      <c r="A4987" s="6">
        <f>4985</f>
        <v>4985</v>
      </c>
      <c r="B4987" s="6" t="s">
        <v>12868</v>
      </c>
      <c r="C4987" s="6" t="s">
        <v>12</v>
      </c>
      <c r="D4987" s="6" t="s">
        <v>11447</v>
      </c>
      <c r="E4987" s="6" t="s">
        <v>12822</v>
      </c>
      <c r="F4987" s="6" t="s">
        <v>12869</v>
      </c>
      <c r="G4987" s="6" t="s">
        <v>16</v>
      </c>
      <c r="H4987" s="5">
        <v>1</v>
      </c>
      <c r="I4987" s="6" t="s">
        <v>12869</v>
      </c>
      <c r="J4987" s="5">
        <v>280</v>
      </c>
    </row>
    <row r="4988" s="2" customFormat="1" spans="1:10">
      <c r="A4988" s="6">
        <f>4986</f>
        <v>4986</v>
      </c>
      <c r="B4988" s="6" t="s">
        <v>12870</v>
      </c>
      <c r="C4988" s="6" t="s">
        <v>12</v>
      </c>
      <c r="D4988" s="6" t="s">
        <v>11447</v>
      </c>
      <c r="E4988" s="6" t="s">
        <v>12822</v>
      </c>
      <c r="F4988" s="6" t="s">
        <v>12871</v>
      </c>
      <c r="G4988" s="6" t="s">
        <v>16</v>
      </c>
      <c r="H4988" s="5">
        <v>2</v>
      </c>
      <c r="I4988" s="6" t="s">
        <v>12872</v>
      </c>
      <c r="J4988" s="5">
        <v>700</v>
      </c>
    </row>
    <row r="4989" s="2" customFormat="1" spans="1:10">
      <c r="A4989" s="6">
        <f>4987</f>
        <v>4987</v>
      </c>
      <c r="B4989" s="6" t="s">
        <v>12873</v>
      </c>
      <c r="C4989" s="6" t="s">
        <v>12</v>
      </c>
      <c r="D4989" s="6" t="s">
        <v>11447</v>
      </c>
      <c r="E4989" s="6" t="s">
        <v>12822</v>
      </c>
      <c r="F4989" s="6" t="s">
        <v>12874</v>
      </c>
      <c r="G4989" s="6" t="s">
        <v>16</v>
      </c>
      <c r="H4989" s="5">
        <v>1</v>
      </c>
      <c r="I4989" s="6" t="s">
        <v>12874</v>
      </c>
      <c r="J4989" s="5">
        <v>280</v>
      </c>
    </row>
    <row r="4990" s="2" customFormat="1" ht="27" spans="1:10">
      <c r="A4990" s="6">
        <f>4988</f>
        <v>4988</v>
      </c>
      <c r="B4990" s="6" t="s">
        <v>12875</v>
      </c>
      <c r="C4990" s="6" t="s">
        <v>12</v>
      </c>
      <c r="D4990" s="6" t="s">
        <v>11447</v>
      </c>
      <c r="E4990" s="6" t="s">
        <v>12822</v>
      </c>
      <c r="F4990" s="6" t="s">
        <v>12876</v>
      </c>
      <c r="G4990" s="6" t="s">
        <v>16</v>
      </c>
      <c r="H4990" s="5">
        <v>5</v>
      </c>
      <c r="I4990" s="6" t="s">
        <v>12877</v>
      </c>
      <c r="J4990" s="5">
        <v>2000</v>
      </c>
    </row>
    <row r="4991" s="2" customFormat="1" spans="1:10">
      <c r="A4991" s="6">
        <f>4989</f>
        <v>4989</v>
      </c>
      <c r="B4991" s="6" t="s">
        <v>12878</v>
      </c>
      <c r="C4991" s="6" t="s">
        <v>12</v>
      </c>
      <c r="D4991" s="6" t="s">
        <v>11447</v>
      </c>
      <c r="E4991" s="6" t="s">
        <v>12822</v>
      </c>
      <c r="F4991" s="6" t="s">
        <v>12879</v>
      </c>
      <c r="G4991" s="6" t="s">
        <v>16</v>
      </c>
      <c r="H4991" s="5">
        <v>2</v>
      </c>
      <c r="I4991" s="6" t="s">
        <v>12880</v>
      </c>
      <c r="J4991" s="5">
        <v>530</v>
      </c>
    </row>
    <row r="4992" s="2" customFormat="1" ht="27" spans="1:10">
      <c r="A4992" s="6">
        <f>4990</f>
        <v>4990</v>
      </c>
      <c r="B4992" s="6" t="s">
        <v>12881</v>
      </c>
      <c r="C4992" s="6" t="s">
        <v>12</v>
      </c>
      <c r="D4992" s="6" t="s">
        <v>11447</v>
      </c>
      <c r="E4992" s="6" t="s">
        <v>12822</v>
      </c>
      <c r="F4992" s="6" t="s">
        <v>12882</v>
      </c>
      <c r="G4992" s="6" t="s">
        <v>16</v>
      </c>
      <c r="H4992" s="5">
        <v>4</v>
      </c>
      <c r="I4992" s="6" t="s">
        <v>12883</v>
      </c>
      <c r="J4992" s="5">
        <v>840</v>
      </c>
    </row>
    <row r="4993" s="2" customFormat="1" spans="1:10">
      <c r="A4993" s="6">
        <f>4991</f>
        <v>4991</v>
      </c>
      <c r="B4993" s="6" t="s">
        <v>12884</v>
      </c>
      <c r="C4993" s="6" t="s">
        <v>12</v>
      </c>
      <c r="D4993" s="6" t="s">
        <v>11447</v>
      </c>
      <c r="E4993" s="6" t="s">
        <v>12822</v>
      </c>
      <c r="F4993" s="6" t="s">
        <v>12885</v>
      </c>
      <c r="G4993" s="6" t="s">
        <v>16</v>
      </c>
      <c r="H4993" s="5">
        <v>1</v>
      </c>
      <c r="I4993" s="6" t="s">
        <v>12885</v>
      </c>
      <c r="J4993" s="5">
        <v>238</v>
      </c>
    </row>
    <row r="4994" s="2" customFormat="1" spans="1:10">
      <c r="A4994" s="6">
        <f>4992</f>
        <v>4992</v>
      </c>
      <c r="B4994" s="6" t="s">
        <v>12886</v>
      </c>
      <c r="C4994" s="6" t="s">
        <v>12</v>
      </c>
      <c r="D4994" s="6" t="s">
        <v>11447</v>
      </c>
      <c r="E4994" s="6" t="s">
        <v>12822</v>
      </c>
      <c r="F4994" s="6" t="s">
        <v>104</v>
      </c>
      <c r="G4994" s="6" t="s">
        <v>16</v>
      </c>
      <c r="H4994" s="5">
        <v>2</v>
      </c>
      <c r="I4994" s="6" t="s">
        <v>12887</v>
      </c>
      <c r="J4994" s="5">
        <v>396</v>
      </c>
    </row>
    <row r="4995" s="2" customFormat="1" spans="1:10">
      <c r="A4995" s="6">
        <f>4993</f>
        <v>4993</v>
      </c>
      <c r="B4995" s="6" t="s">
        <v>12888</v>
      </c>
      <c r="C4995" s="6" t="s">
        <v>12</v>
      </c>
      <c r="D4995" s="6" t="s">
        <v>11447</v>
      </c>
      <c r="E4995" s="6" t="s">
        <v>12822</v>
      </c>
      <c r="F4995" s="6" t="s">
        <v>12889</v>
      </c>
      <c r="G4995" s="6" t="s">
        <v>16</v>
      </c>
      <c r="H4995" s="5">
        <v>1</v>
      </c>
      <c r="I4995" s="6" t="s">
        <v>12889</v>
      </c>
      <c r="J4995" s="5">
        <v>265</v>
      </c>
    </row>
    <row r="4996" s="2" customFormat="1" spans="1:10">
      <c r="A4996" s="6">
        <f>4994</f>
        <v>4994</v>
      </c>
      <c r="B4996" s="6" t="s">
        <v>12890</v>
      </c>
      <c r="C4996" s="6" t="s">
        <v>12</v>
      </c>
      <c r="D4996" s="6" t="s">
        <v>11447</v>
      </c>
      <c r="E4996" s="6" t="s">
        <v>12822</v>
      </c>
      <c r="F4996" s="6" t="s">
        <v>12891</v>
      </c>
      <c r="G4996" s="6" t="s">
        <v>16</v>
      </c>
      <c r="H4996" s="5">
        <v>3</v>
      </c>
      <c r="I4996" s="6" t="s">
        <v>12892</v>
      </c>
      <c r="J4996" s="5">
        <v>870</v>
      </c>
    </row>
    <row r="4997" s="2" customFormat="1" spans="1:10">
      <c r="A4997" s="6">
        <f>4995</f>
        <v>4995</v>
      </c>
      <c r="B4997" s="6" t="s">
        <v>12893</v>
      </c>
      <c r="C4997" s="6" t="s">
        <v>12</v>
      </c>
      <c r="D4997" s="6" t="s">
        <v>11447</v>
      </c>
      <c r="E4997" s="6" t="s">
        <v>12822</v>
      </c>
      <c r="F4997" s="6" t="s">
        <v>12894</v>
      </c>
      <c r="G4997" s="6" t="s">
        <v>16</v>
      </c>
      <c r="H4997" s="5">
        <v>2</v>
      </c>
      <c r="I4997" s="6" t="s">
        <v>12895</v>
      </c>
      <c r="J4997" s="5">
        <v>325</v>
      </c>
    </row>
    <row r="4998" s="2" customFormat="1" spans="1:10">
      <c r="A4998" s="6">
        <f>4996</f>
        <v>4996</v>
      </c>
      <c r="B4998" s="6" t="s">
        <v>12896</v>
      </c>
      <c r="C4998" s="6" t="s">
        <v>12</v>
      </c>
      <c r="D4998" s="6" t="s">
        <v>11447</v>
      </c>
      <c r="E4998" s="6" t="s">
        <v>12822</v>
      </c>
      <c r="F4998" s="6" t="s">
        <v>12897</v>
      </c>
      <c r="G4998" s="6" t="s">
        <v>16</v>
      </c>
      <c r="H4998" s="5">
        <v>1</v>
      </c>
      <c r="I4998" s="6" t="s">
        <v>12897</v>
      </c>
      <c r="J4998" s="5">
        <v>238</v>
      </c>
    </row>
    <row r="4999" s="2" customFormat="1" spans="1:10">
      <c r="A4999" s="6">
        <f>4997</f>
        <v>4997</v>
      </c>
      <c r="B4999" s="6" t="s">
        <v>12898</v>
      </c>
      <c r="C4999" s="6" t="s">
        <v>12</v>
      </c>
      <c r="D4999" s="6" t="s">
        <v>11447</v>
      </c>
      <c r="E4999" s="6" t="s">
        <v>12822</v>
      </c>
      <c r="F4999" s="6" t="s">
        <v>12899</v>
      </c>
      <c r="G4999" s="6" t="s">
        <v>16</v>
      </c>
      <c r="H4999" s="5">
        <v>1</v>
      </c>
      <c r="I4999" s="6" t="s">
        <v>12899</v>
      </c>
      <c r="J4999" s="5">
        <v>265</v>
      </c>
    </row>
    <row r="5000" s="2" customFormat="1" spans="1:10">
      <c r="A5000" s="6">
        <f>4998</f>
        <v>4998</v>
      </c>
      <c r="B5000" s="6" t="s">
        <v>12900</v>
      </c>
      <c r="C5000" s="6" t="s">
        <v>12</v>
      </c>
      <c r="D5000" s="6" t="s">
        <v>11447</v>
      </c>
      <c r="E5000" s="6" t="s">
        <v>12822</v>
      </c>
      <c r="F5000" s="6" t="s">
        <v>12901</v>
      </c>
      <c r="G5000" s="6" t="s">
        <v>16</v>
      </c>
      <c r="H5000" s="5">
        <v>2</v>
      </c>
      <c r="I5000" s="6" t="s">
        <v>12902</v>
      </c>
      <c r="J5000" s="5">
        <v>492</v>
      </c>
    </row>
    <row r="5001" s="2" customFormat="1" spans="1:10">
      <c r="A5001" s="6">
        <f>4999</f>
        <v>4999</v>
      </c>
      <c r="B5001" s="6" t="s">
        <v>12903</v>
      </c>
      <c r="C5001" s="6" t="s">
        <v>12</v>
      </c>
      <c r="D5001" s="6" t="s">
        <v>11447</v>
      </c>
      <c r="E5001" s="6" t="s">
        <v>12822</v>
      </c>
      <c r="F5001" s="6" t="s">
        <v>12904</v>
      </c>
      <c r="G5001" s="6" t="s">
        <v>16</v>
      </c>
      <c r="H5001" s="5">
        <v>1</v>
      </c>
      <c r="I5001" s="6" t="s">
        <v>12904</v>
      </c>
      <c r="J5001" s="5">
        <v>238</v>
      </c>
    </row>
    <row r="5002" s="2" customFormat="1" spans="1:10">
      <c r="A5002" s="6">
        <f>5000</f>
        <v>5000</v>
      </c>
      <c r="B5002" s="6" t="s">
        <v>12905</v>
      </c>
      <c r="C5002" s="6" t="s">
        <v>12</v>
      </c>
      <c r="D5002" s="6" t="s">
        <v>11447</v>
      </c>
      <c r="E5002" s="6" t="s">
        <v>12822</v>
      </c>
      <c r="F5002" s="6" t="s">
        <v>12906</v>
      </c>
      <c r="G5002" s="6" t="s">
        <v>16</v>
      </c>
      <c r="H5002" s="5">
        <v>1</v>
      </c>
      <c r="I5002" s="6" t="s">
        <v>12906</v>
      </c>
      <c r="J5002" s="5">
        <v>198</v>
      </c>
    </row>
    <row r="5003" s="2" customFormat="1" spans="1:10">
      <c r="A5003" s="6">
        <f>5001</f>
        <v>5001</v>
      </c>
      <c r="B5003" s="6" t="s">
        <v>12907</v>
      </c>
      <c r="C5003" s="6" t="s">
        <v>12</v>
      </c>
      <c r="D5003" s="6" t="s">
        <v>11447</v>
      </c>
      <c r="E5003" s="6" t="s">
        <v>12822</v>
      </c>
      <c r="F5003" s="6" t="s">
        <v>12908</v>
      </c>
      <c r="G5003" s="6" t="s">
        <v>16</v>
      </c>
      <c r="H5003" s="5">
        <v>2</v>
      </c>
      <c r="I5003" s="6" t="s">
        <v>12909</v>
      </c>
      <c r="J5003" s="5">
        <v>477</v>
      </c>
    </row>
    <row r="5004" s="2" customFormat="1" spans="1:10">
      <c r="A5004" s="6">
        <f>5002</f>
        <v>5002</v>
      </c>
      <c r="B5004" s="6" t="s">
        <v>12910</v>
      </c>
      <c r="C5004" s="6" t="s">
        <v>12</v>
      </c>
      <c r="D5004" s="6" t="s">
        <v>11447</v>
      </c>
      <c r="E5004" s="6" t="s">
        <v>12822</v>
      </c>
      <c r="F5004" s="6" t="s">
        <v>12911</v>
      </c>
      <c r="G5004" s="6" t="s">
        <v>16</v>
      </c>
      <c r="H5004" s="5">
        <v>3</v>
      </c>
      <c r="I5004" s="6" t="s">
        <v>12912</v>
      </c>
      <c r="J5004" s="5">
        <v>523</v>
      </c>
    </row>
    <row r="5005" s="2" customFormat="1" spans="1:10">
      <c r="A5005" s="6">
        <f>5003</f>
        <v>5003</v>
      </c>
      <c r="B5005" s="6" t="s">
        <v>12913</v>
      </c>
      <c r="C5005" s="6" t="s">
        <v>12</v>
      </c>
      <c r="D5005" s="6" t="s">
        <v>11447</v>
      </c>
      <c r="E5005" s="6" t="s">
        <v>12822</v>
      </c>
      <c r="F5005" s="6" t="s">
        <v>12914</v>
      </c>
      <c r="G5005" s="6" t="s">
        <v>16</v>
      </c>
      <c r="H5005" s="5">
        <v>2</v>
      </c>
      <c r="I5005" s="6" t="s">
        <v>12915</v>
      </c>
      <c r="J5005" s="5">
        <v>412</v>
      </c>
    </row>
    <row r="5006" s="2" customFormat="1" spans="1:10">
      <c r="A5006" s="6">
        <f>5004</f>
        <v>5004</v>
      </c>
      <c r="B5006" s="6" t="s">
        <v>12916</v>
      </c>
      <c r="C5006" s="6" t="s">
        <v>12</v>
      </c>
      <c r="D5006" s="6" t="s">
        <v>11447</v>
      </c>
      <c r="E5006" s="6" t="s">
        <v>12822</v>
      </c>
      <c r="F5006" s="6" t="s">
        <v>12917</v>
      </c>
      <c r="G5006" s="6" t="s">
        <v>16</v>
      </c>
      <c r="H5006" s="5">
        <v>1</v>
      </c>
      <c r="I5006" s="6" t="s">
        <v>12917</v>
      </c>
      <c r="J5006" s="5">
        <v>620</v>
      </c>
    </row>
    <row r="5007" s="2" customFormat="1" spans="1:10">
      <c r="A5007" s="6">
        <f>5005</f>
        <v>5005</v>
      </c>
      <c r="B5007" s="6" t="s">
        <v>12918</v>
      </c>
      <c r="C5007" s="6" t="s">
        <v>12</v>
      </c>
      <c r="D5007" s="6" t="s">
        <v>11447</v>
      </c>
      <c r="E5007" s="6" t="s">
        <v>12822</v>
      </c>
      <c r="F5007" s="6" t="s">
        <v>12919</v>
      </c>
      <c r="G5007" s="6" t="s">
        <v>16</v>
      </c>
      <c r="H5007" s="5">
        <v>3</v>
      </c>
      <c r="I5007" s="6" t="s">
        <v>12920</v>
      </c>
      <c r="J5007" s="5">
        <v>570</v>
      </c>
    </row>
    <row r="5008" s="2" customFormat="1" spans="1:10">
      <c r="A5008" s="6">
        <f>5006</f>
        <v>5006</v>
      </c>
      <c r="B5008" s="6" t="s">
        <v>12921</v>
      </c>
      <c r="C5008" s="6" t="s">
        <v>12</v>
      </c>
      <c r="D5008" s="6" t="s">
        <v>11447</v>
      </c>
      <c r="E5008" s="6" t="s">
        <v>12822</v>
      </c>
      <c r="F5008" s="6" t="s">
        <v>2800</v>
      </c>
      <c r="G5008" s="6" t="s">
        <v>16</v>
      </c>
      <c r="H5008" s="5">
        <v>1</v>
      </c>
      <c r="I5008" s="6" t="s">
        <v>2800</v>
      </c>
      <c r="J5008" s="5">
        <v>265</v>
      </c>
    </row>
    <row r="5009" s="2" customFormat="1" spans="1:10">
      <c r="A5009" s="6">
        <f>5007</f>
        <v>5007</v>
      </c>
      <c r="B5009" s="6" t="s">
        <v>12922</v>
      </c>
      <c r="C5009" s="6" t="s">
        <v>12</v>
      </c>
      <c r="D5009" s="6" t="s">
        <v>11447</v>
      </c>
      <c r="E5009" s="6" t="s">
        <v>12822</v>
      </c>
      <c r="F5009" s="6" t="s">
        <v>12923</v>
      </c>
      <c r="G5009" s="6" t="s">
        <v>16</v>
      </c>
      <c r="H5009" s="5">
        <v>1</v>
      </c>
      <c r="I5009" s="6" t="s">
        <v>12923</v>
      </c>
      <c r="J5009" s="5">
        <v>240</v>
      </c>
    </row>
    <row r="5010" s="2" customFormat="1" spans="1:10">
      <c r="A5010" s="6">
        <f>5008</f>
        <v>5008</v>
      </c>
      <c r="B5010" s="6" t="s">
        <v>12924</v>
      </c>
      <c r="C5010" s="6" t="s">
        <v>12</v>
      </c>
      <c r="D5010" s="6" t="s">
        <v>11447</v>
      </c>
      <c r="E5010" s="6" t="s">
        <v>12822</v>
      </c>
      <c r="F5010" s="6" t="s">
        <v>12211</v>
      </c>
      <c r="G5010" s="6" t="s">
        <v>16</v>
      </c>
      <c r="H5010" s="5">
        <v>3</v>
      </c>
      <c r="I5010" s="6" t="s">
        <v>12925</v>
      </c>
      <c r="J5010" s="5">
        <v>519</v>
      </c>
    </row>
    <row r="5011" s="2" customFormat="1" spans="1:10">
      <c r="A5011" s="6">
        <f>5009</f>
        <v>5009</v>
      </c>
      <c r="B5011" s="6" t="s">
        <v>12926</v>
      </c>
      <c r="C5011" s="6" t="s">
        <v>12</v>
      </c>
      <c r="D5011" s="6" t="s">
        <v>11447</v>
      </c>
      <c r="E5011" s="6" t="s">
        <v>12822</v>
      </c>
      <c r="F5011" s="6" t="s">
        <v>12927</v>
      </c>
      <c r="G5011" s="6" t="s">
        <v>16</v>
      </c>
      <c r="H5011" s="5">
        <v>1</v>
      </c>
      <c r="I5011" s="6" t="s">
        <v>12927</v>
      </c>
      <c r="J5011" s="5">
        <v>238</v>
      </c>
    </row>
    <row r="5012" s="2" customFormat="1" spans="1:10">
      <c r="A5012" s="6">
        <f>5010</f>
        <v>5010</v>
      </c>
      <c r="B5012" s="6" t="s">
        <v>12928</v>
      </c>
      <c r="C5012" s="6" t="s">
        <v>12</v>
      </c>
      <c r="D5012" s="6" t="s">
        <v>11447</v>
      </c>
      <c r="E5012" s="6" t="s">
        <v>12822</v>
      </c>
      <c r="F5012" s="6" t="s">
        <v>12929</v>
      </c>
      <c r="G5012" s="6" t="s">
        <v>16</v>
      </c>
      <c r="H5012" s="5">
        <v>1</v>
      </c>
      <c r="I5012" s="6" t="s">
        <v>12929</v>
      </c>
      <c r="J5012" s="5">
        <v>198</v>
      </c>
    </row>
    <row r="5013" s="2" customFormat="1" spans="1:10">
      <c r="A5013" s="6">
        <f>5011</f>
        <v>5011</v>
      </c>
      <c r="B5013" s="6" t="s">
        <v>12930</v>
      </c>
      <c r="C5013" s="6" t="s">
        <v>12</v>
      </c>
      <c r="D5013" s="6" t="s">
        <v>11447</v>
      </c>
      <c r="E5013" s="6" t="s">
        <v>12822</v>
      </c>
      <c r="F5013" s="6" t="s">
        <v>12931</v>
      </c>
      <c r="G5013" s="6" t="s">
        <v>16</v>
      </c>
      <c r="H5013" s="5">
        <v>2</v>
      </c>
      <c r="I5013" s="6" t="s">
        <v>12932</v>
      </c>
      <c r="J5013" s="5">
        <v>440</v>
      </c>
    </row>
    <row r="5014" s="2" customFormat="1" spans="1:10">
      <c r="A5014" s="6">
        <f>5012</f>
        <v>5012</v>
      </c>
      <c r="B5014" s="6" t="s">
        <v>12933</v>
      </c>
      <c r="C5014" s="6" t="s">
        <v>12</v>
      </c>
      <c r="D5014" s="6" t="s">
        <v>11447</v>
      </c>
      <c r="E5014" s="6" t="s">
        <v>12822</v>
      </c>
      <c r="F5014" s="6" t="s">
        <v>12934</v>
      </c>
      <c r="G5014" s="6" t="s">
        <v>16</v>
      </c>
      <c r="H5014" s="5">
        <v>3</v>
      </c>
      <c r="I5014" s="6" t="s">
        <v>12935</v>
      </c>
      <c r="J5014" s="5">
        <v>580</v>
      </c>
    </row>
    <row r="5015" s="2" customFormat="1" spans="1:10">
      <c r="A5015" s="6">
        <f>5013</f>
        <v>5013</v>
      </c>
      <c r="B5015" s="6" t="s">
        <v>12936</v>
      </c>
      <c r="C5015" s="6" t="s">
        <v>12</v>
      </c>
      <c r="D5015" s="6" t="s">
        <v>11447</v>
      </c>
      <c r="E5015" s="6" t="s">
        <v>12822</v>
      </c>
      <c r="F5015" s="6" t="s">
        <v>12937</v>
      </c>
      <c r="G5015" s="6" t="s">
        <v>16</v>
      </c>
      <c r="H5015" s="5">
        <v>2</v>
      </c>
      <c r="I5015" s="6" t="s">
        <v>12938</v>
      </c>
      <c r="J5015" s="5">
        <v>420</v>
      </c>
    </row>
    <row r="5016" s="2" customFormat="1" spans="1:10">
      <c r="A5016" s="6">
        <f>5014</f>
        <v>5014</v>
      </c>
      <c r="B5016" s="6" t="s">
        <v>12939</v>
      </c>
      <c r="C5016" s="6" t="s">
        <v>12</v>
      </c>
      <c r="D5016" s="6" t="s">
        <v>11447</v>
      </c>
      <c r="E5016" s="6" t="s">
        <v>12822</v>
      </c>
      <c r="F5016" s="6" t="s">
        <v>12940</v>
      </c>
      <c r="G5016" s="6" t="s">
        <v>16</v>
      </c>
      <c r="H5016" s="5">
        <v>1</v>
      </c>
      <c r="I5016" s="6" t="s">
        <v>12940</v>
      </c>
      <c r="J5016" s="5">
        <v>265</v>
      </c>
    </row>
    <row r="5017" s="2" customFormat="1" spans="1:10">
      <c r="A5017" s="6">
        <f>5015</f>
        <v>5015</v>
      </c>
      <c r="B5017" s="6" t="s">
        <v>12941</v>
      </c>
      <c r="C5017" s="6" t="s">
        <v>12</v>
      </c>
      <c r="D5017" s="6" t="s">
        <v>11447</v>
      </c>
      <c r="E5017" s="6" t="s">
        <v>12822</v>
      </c>
      <c r="F5017" s="6" t="s">
        <v>12942</v>
      </c>
      <c r="G5017" s="6" t="s">
        <v>16</v>
      </c>
      <c r="H5017" s="5">
        <v>1</v>
      </c>
      <c r="I5017" s="6" t="s">
        <v>12942</v>
      </c>
      <c r="J5017" s="5">
        <v>227</v>
      </c>
    </row>
    <row r="5018" s="2" customFormat="1" spans="1:10">
      <c r="A5018" s="6">
        <f>5016</f>
        <v>5016</v>
      </c>
      <c r="B5018" s="6" t="s">
        <v>12943</v>
      </c>
      <c r="C5018" s="6" t="s">
        <v>12</v>
      </c>
      <c r="D5018" s="6" t="s">
        <v>11447</v>
      </c>
      <c r="E5018" s="6" t="s">
        <v>12822</v>
      </c>
      <c r="F5018" s="6" t="s">
        <v>12944</v>
      </c>
      <c r="G5018" s="6" t="s">
        <v>16</v>
      </c>
      <c r="H5018" s="5">
        <v>2</v>
      </c>
      <c r="I5018" s="6" t="s">
        <v>12945</v>
      </c>
      <c r="J5018" s="5">
        <v>476</v>
      </c>
    </row>
    <row r="5019" s="2" customFormat="1" ht="27" spans="1:10">
      <c r="A5019" s="6">
        <f>5017</f>
        <v>5017</v>
      </c>
      <c r="B5019" s="6" t="s">
        <v>12946</v>
      </c>
      <c r="C5019" s="6" t="s">
        <v>12</v>
      </c>
      <c r="D5019" s="6" t="s">
        <v>11447</v>
      </c>
      <c r="E5019" s="6" t="s">
        <v>12822</v>
      </c>
      <c r="F5019" s="6" t="s">
        <v>12947</v>
      </c>
      <c r="G5019" s="6" t="s">
        <v>16</v>
      </c>
      <c r="H5019" s="5">
        <v>4</v>
      </c>
      <c r="I5019" s="6" t="s">
        <v>12948</v>
      </c>
      <c r="J5019" s="5">
        <v>793</v>
      </c>
    </row>
    <row r="5020" s="2" customFormat="1" spans="1:10">
      <c r="A5020" s="6">
        <f>5018</f>
        <v>5018</v>
      </c>
      <c r="B5020" s="6" t="s">
        <v>12949</v>
      </c>
      <c r="C5020" s="6" t="s">
        <v>12</v>
      </c>
      <c r="D5020" s="6" t="s">
        <v>11447</v>
      </c>
      <c r="E5020" s="6" t="s">
        <v>12822</v>
      </c>
      <c r="F5020" s="6" t="s">
        <v>12950</v>
      </c>
      <c r="G5020" s="6" t="s">
        <v>16</v>
      </c>
      <c r="H5020" s="5">
        <v>1</v>
      </c>
      <c r="I5020" s="6" t="s">
        <v>12950</v>
      </c>
      <c r="J5020" s="5">
        <v>240</v>
      </c>
    </row>
    <row r="5021" s="2" customFormat="1" spans="1:10">
      <c r="A5021" s="6">
        <f>5019</f>
        <v>5019</v>
      </c>
      <c r="B5021" s="6" t="s">
        <v>12951</v>
      </c>
      <c r="C5021" s="6" t="s">
        <v>12</v>
      </c>
      <c r="D5021" s="6" t="s">
        <v>11447</v>
      </c>
      <c r="E5021" s="6" t="s">
        <v>12822</v>
      </c>
      <c r="F5021" s="6" t="s">
        <v>12952</v>
      </c>
      <c r="G5021" s="6" t="s">
        <v>16</v>
      </c>
      <c r="H5021" s="5">
        <v>2</v>
      </c>
      <c r="I5021" s="6" t="s">
        <v>12953</v>
      </c>
      <c r="J5021" s="5">
        <v>476</v>
      </c>
    </row>
    <row r="5022" s="2" customFormat="1" spans="1:10">
      <c r="A5022" s="6">
        <f>5020</f>
        <v>5020</v>
      </c>
      <c r="B5022" s="6" t="s">
        <v>12954</v>
      </c>
      <c r="C5022" s="6" t="s">
        <v>12</v>
      </c>
      <c r="D5022" s="6" t="s">
        <v>11447</v>
      </c>
      <c r="E5022" s="6" t="s">
        <v>12822</v>
      </c>
      <c r="F5022" s="6" t="s">
        <v>12955</v>
      </c>
      <c r="G5022" s="6" t="s">
        <v>16</v>
      </c>
      <c r="H5022" s="5">
        <v>3</v>
      </c>
      <c r="I5022" s="6" t="s">
        <v>12956</v>
      </c>
      <c r="J5022" s="5">
        <v>1470</v>
      </c>
    </row>
    <row r="5023" s="2" customFormat="1" spans="1:10">
      <c r="A5023" s="6">
        <f>5021</f>
        <v>5021</v>
      </c>
      <c r="B5023" s="6" t="s">
        <v>12957</v>
      </c>
      <c r="C5023" s="6" t="s">
        <v>12</v>
      </c>
      <c r="D5023" s="6" t="s">
        <v>11447</v>
      </c>
      <c r="E5023" s="6" t="s">
        <v>12822</v>
      </c>
      <c r="F5023" s="6" t="s">
        <v>12958</v>
      </c>
      <c r="G5023" s="6" t="s">
        <v>16</v>
      </c>
      <c r="H5023" s="5">
        <v>2</v>
      </c>
      <c r="I5023" s="6" t="s">
        <v>12959</v>
      </c>
      <c r="J5023" s="5">
        <v>479</v>
      </c>
    </row>
    <row r="5024" s="2" customFormat="1" spans="1:10">
      <c r="A5024" s="6">
        <f>5022</f>
        <v>5022</v>
      </c>
      <c r="B5024" s="6" t="s">
        <v>12960</v>
      </c>
      <c r="C5024" s="6" t="s">
        <v>12</v>
      </c>
      <c r="D5024" s="6" t="s">
        <v>11447</v>
      </c>
      <c r="E5024" s="6" t="s">
        <v>12822</v>
      </c>
      <c r="F5024" s="6" t="s">
        <v>12961</v>
      </c>
      <c r="G5024" s="6" t="s">
        <v>16</v>
      </c>
      <c r="H5024" s="5">
        <v>2</v>
      </c>
      <c r="I5024" s="6" t="s">
        <v>12962</v>
      </c>
      <c r="J5024" s="5">
        <v>582</v>
      </c>
    </row>
    <row r="5025" s="2" customFormat="1" spans="1:10">
      <c r="A5025" s="6">
        <f>5023</f>
        <v>5023</v>
      </c>
      <c r="B5025" s="6" t="s">
        <v>12963</v>
      </c>
      <c r="C5025" s="6" t="s">
        <v>12</v>
      </c>
      <c r="D5025" s="6" t="s">
        <v>11447</v>
      </c>
      <c r="E5025" s="6" t="s">
        <v>12822</v>
      </c>
      <c r="F5025" s="6" t="s">
        <v>12964</v>
      </c>
      <c r="G5025" s="6" t="s">
        <v>16</v>
      </c>
      <c r="H5025" s="5">
        <v>3</v>
      </c>
      <c r="I5025" s="6" t="s">
        <v>12965</v>
      </c>
      <c r="J5025" s="5">
        <v>500</v>
      </c>
    </row>
    <row r="5026" s="2" customFormat="1" spans="1:10">
      <c r="A5026" s="6">
        <f>5024</f>
        <v>5024</v>
      </c>
      <c r="B5026" s="6" t="s">
        <v>12966</v>
      </c>
      <c r="C5026" s="6" t="s">
        <v>12</v>
      </c>
      <c r="D5026" s="6" t="s">
        <v>11447</v>
      </c>
      <c r="E5026" s="6" t="s">
        <v>12822</v>
      </c>
      <c r="F5026" s="6" t="s">
        <v>12967</v>
      </c>
      <c r="G5026" s="6" t="s">
        <v>16</v>
      </c>
      <c r="H5026" s="5">
        <v>1</v>
      </c>
      <c r="I5026" s="6" t="s">
        <v>12967</v>
      </c>
      <c r="J5026" s="5">
        <v>265</v>
      </c>
    </row>
    <row r="5027" s="2" customFormat="1" spans="1:10">
      <c r="A5027" s="6">
        <f>5025</f>
        <v>5025</v>
      </c>
      <c r="B5027" s="6" t="s">
        <v>12968</v>
      </c>
      <c r="C5027" s="6" t="s">
        <v>12</v>
      </c>
      <c r="D5027" s="6" t="s">
        <v>11447</v>
      </c>
      <c r="E5027" s="6" t="s">
        <v>12822</v>
      </c>
      <c r="F5027" s="6" t="s">
        <v>12969</v>
      </c>
      <c r="G5027" s="6" t="s">
        <v>16</v>
      </c>
      <c r="H5027" s="5">
        <v>1</v>
      </c>
      <c r="I5027" s="6" t="s">
        <v>12969</v>
      </c>
      <c r="J5027" s="5">
        <v>260</v>
      </c>
    </row>
    <row r="5028" s="2" customFormat="1" spans="1:10">
      <c r="A5028" s="6">
        <f>5026</f>
        <v>5026</v>
      </c>
      <c r="B5028" s="6" t="s">
        <v>12970</v>
      </c>
      <c r="C5028" s="6" t="s">
        <v>12</v>
      </c>
      <c r="D5028" s="6" t="s">
        <v>11447</v>
      </c>
      <c r="E5028" s="6" t="s">
        <v>12822</v>
      </c>
      <c r="F5028" s="6" t="s">
        <v>12971</v>
      </c>
      <c r="G5028" s="6" t="s">
        <v>16</v>
      </c>
      <c r="H5028" s="5">
        <v>1</v>
      </c>
      <c r="I5028" s="6" t="s">
        <v>12971</v>
      </c>
      <c r="J5028" s="5">
        <v>440</v>
      </c>
    </row>
    <row r="5029" s="2" customFormat="1" spans="1:10">
      <c r="A5029" s="6">
        <f>5027</f>
        <v>5027</v>
      </c>
      <c r="B5029" s="6" t="s">
        <v>12972</v>
      </c>
      <c r="C5029" s="6" t="s">
        <v>12</v>
      </c>
      <c r="D5029" s="6" t="s">
        <v>11447</v>
      </c>
      <c r="E5029" s="6" t="s">
        <v>12822</v>
      </c>
      <c r="F5029" s="6" t="s">
        <v>12973</v>
      </c>
      <c r="G5029" s="6" t="s">
        <v>16</v>
      </c>
      <c r="H5029" s="5">
        <v>1</v>
      </c>
      <c r="I5029" s="6" t="s">
        <v>12973</v>
      </c>
      <c r="J5029" s="5">
        <v>193</v>
      </c>
    </row>
    <row r="5030" s="2" customFormat="1" spans="1:10">
      <c r="A5030" s="6">
        <f>5028</f>
        <v>5028</v>
      </c>
      <c r="B5030" s="6" t="s">
        <v>12974</v>
      </c>
      <c r="C5030" s="6" t="s">
        <v>12</v>
      </c>
      <c r="D5030" s="6" t="s">
        <v>11447</v>
      </c>
      <c r="E5030" s="6" t="s">
        <v>12822</v>
      </c>
      <c r="F5030" s="6" t="s">
        <v>12975</v>
      </c>
      <c r="G5030" s="6" t="s">
        <v>16</v>
      </c>
      <c r="H5030" s="5">
        <v>1</v>
      </c>
      <c r="I5030" s="6" t="s">
        <v>12975</v>
      </c>
      <c r="J5030" s="5">
        <v>240</v>
      </c>
    </row>
    <row r="5031" s="2" customFormat="1" spans="1:10">
      <c r="A5031" s="6">
        <f>5029</f>
        <v>5029</v>
      </c>
      <c r="B5031" s="6" t="s">
        <v>12976</v>
      </c>
      <c r="C5031" s="6" t="s">
        <v>12</v>
      </c>
      <c r="D5031" s="6" t="s">
        <v>11447</v>
      </c>
      <c r="E5031" s="6" t="s">
        <v>12822</v>
      </c>
      <c r="F5031" s="6" t="s">
        <v>12977</v>
      </c>
      <c r="G5031" s="6" t="s">
        <v>16</v>
      </c>
      <c r="H5031" s="5">
        <v>2</v>
      </c>
      <c r="I5031" s="6" t="s">
        <v>12978</v>
      </c>
      <c r="J5031" s="5">
        <v>580</v>
      </c>
    </row>
    <row r="5032" s="2" customFormat="1" spans="1:10">
      <c r="A5032" s="6">
        <f>5030</f>
        <v>5030</v>
      </c>
      <c r="B5032" s="6" t="s">
        <v>12979</v>
      </c>
      <c r="C5032" s="6" t="s">
        <v>12</v>
      </c>
      <c r="D5032" s="6" t="s">
        <v>11447</v>
      </c>
      <c r="E5032" s="6" t="s">
        <v>12822</v>
      </c>
      <c r="F5032" s="6" t="s">
        <v>12980</v>
      </c>
      <c r="G5032" s="6" t="s">
        <v>16</v>
      </c>
      <c r="H5032" s="5">
        <v>2</v>
      </c>
      <c r="I5032" s="6" t="s">
        <v>12981</v>
      </c>
      <c r="J5032" s="5">
        <v>298</v>
      </c>
    </row>
    <row r="5033" s="2" customFormat="1" spans="1:10">
      <c r="A5033" s="6">
        <f>5031</f>
        <v>5031</v>
      </c>
      <c r="B5033" s="6" t="s">
        <v>12982</v>
      </c>
      <c r="C5033" s="6" t="s">
        <v>12</v>
      </c>
      <c r="D5033" s="6" t="s">
        <v>11447</v>
      </c>
      <c r="E5033" s="6" t="s">
        <v>12822</v>
      </c>
      <c r="F5033" s="6" t="s">
        <v>12983</v>
      </c>
      <c r="G5033" s="6" t="s">
        <v>16</v>
      </c>
      <c r="H5033" s="5">
        <v>1</v>
      </c>
      <c r="I5033" s="6" t="s">
        <v>12983</v>
      </c>
      <c r="J5033" s="5">
        <v>238</v>
      </c>
    </row>
    <row r="5034" s="2" customFormat="1" spans="1:10">
      <c r="A5034" s="6">
        <f>5032</f>
        <v>5032</v>
      </c>
      <c r="B5034" s="6" t="s">
        <v>12984</v>
      </c>
      <c r="C5034" s="6" t="s">
        <v>12</v>
      </c>
      <c r="D5034" s="6" t="s">
        <v>11447</v>
      </c>
      <c r="E5034" s="6" t="s">
        <v>12822</v>
      </c>
      <c r="F5034" s="6" t="s">
        <v>12985</v>
      </c>
      <c r="G5034" s="6" t="s">
        <v>16</v>
      </c>
      <c r="H5034" s="5">
        <v>2</v>
      </c>
      <c r="I5034" s="6" t="s">
        <v>12986</v>
      </c>
      <c r="J5034" s="5">
        <v>580</v>
      </c>
    </row>
    <row r="5035" s="2" customFormat="1" ht="27" spans="1:10">
      <c r="A5035" s="6">
        <f>5033</f>
        <v>5033</v>
      </c>
      <c r="B5035" s="6" t="s">
        <v>12987</v>
      </c>
      <c r="C5035" s="6" t="s">
        <v>12</v>
      </c>
      <c r="D5035" s="6" t="s">
        <v>11447</v>
      </c>
      <c r="E5035" s="6" t="s">
        <v>12822</v>
      </c>
      <c r="F5035" s="6" t="s">
        <v>12988</v>
      </c>
      <c r="G5035" s="6" t="s">
        <v>16</v>
      </c>
      <c r="H5035" s="5">
        <v>4</v>
      </c>
      <c r="I5035" s="6" t="s">
        <v>12989</v>
      </c>
      <c r="J5035" s="5">
        <v>445</v>
      </c>
    </row>
    <row r="5036" s="2" customFormat="1" spans="1:10">
      <c r="A5036" s="6">
        <f>5034</f>
        <v>5034</v>
      </c>
      <c r="B5036" s="6" t="s">
        <v>12990</v>
      </c>
      <c r="C5036" s="6" t="s">
        <v>12</v>
      </c>
      <c r="D5036" s="6" t="s">
        <v>11447</v>
      </c>
      <c r="E5036" s="6" t="s">
        <v>12822</v>
      </c>
      <c r="F5036" s="6" t="s">
        <v>1944</v>
      </c>
      <c r="G5036" s="6" t="s">
        <v>16</v>
      </c>
      <c r="H5036" s="5">
        <v>1</v>
      </c>
      <c r="I5036" s="6" t="s">
        <v>1944</v>
      </c>
      <c r="J5036" s="5">
        <v>200</v>
      </c>
    </row>
    <row r="5037" s="2" customFormat="1" ht="27" spans="1:10">
      <c r="A5037" s="6">
        <f>5035</f>
        <v>5035</v>
      </c>
      <c r="B5037" s="6" t="s">
        <v>12991</v>
      </c>
      <c r="C5037" s="6" t="s">
        <v>12</v>
      </c>
      <c r="D5037" s="6" t="s">
        <v>11447</v>
      </c>
      <c r="E5037" s="6" t="s">
        <v>12822</v>
      </c>
      <c r="F5037" s="6" t="s">
        <v>12992</v>
      </c>
      <c r="G5037" s="6" t="s">
        <v>16</v>
      </c>
      <c r="H5037" s="5">
        <v>4</v>
      </c>
      <c r="I5037" s="6" t="s">
        <v>12993</v>
      </c>
      <c r="J5037" s="5">
        <v>1200</v>
      </c>
    </row>
    <row r="5038" s="2" customFormat="1" spans="1:10">
      <c r="A5038" s="6">
        <f>5036</f>
        <v>5036</v>
      </c>
      <c r="B5038" s="6" t="s">
        <v>12994</v>
      </c>
      <c r="C5038" s="6" t="s">
        <v>12</v>
      </c>
      <c r="D5038" s="6" t="s">
        <v>11447</v>
      </c>
      <c r="E5038" s="6" t="s">
        <v>12822</v>
      </c>
      <c r="F5038" s="6" t="s">
        <v>12995</v>
      </c>
      <c r="G5038" s="6" t="s">
        <v>16</v>
      </c>
      <c r="H5038" s="5">
        <v>1</v>
      </c>
      <c r="I5038" s="6" t="s">
        <v>12995</v>
      </c>
      <c r="J5038" s="5">
        <v>320</v>
      </c>
    </row>
    <row r="5039" s="2" customFormat="1" spans="1:10">
      <c r="A5039" s="6">
        <f>5037</f>
        <v>5037</v>
      </c>
      <c r="B5039" s="6" t="s">
        <v>12996</v>
      </c>
      <c r="C5039" s="6" t="s">
        <v>12</v>
      </c>
      <c r="D5039" s="6" t="s">
        <v>11447</v>
      </c>
      <c r="E5039" s="6" t="s">
        <v>12822</v>
      </c>
      <c r="F5039" s="6" t="s">
        <v>12997</v>
      </c>
      <c r="G5039" s="6" t="s">
        <v>16</v>
      </c>
      <c r="H5039" s="5">
        <v>1</v>
      </c>
      <c r="I5039" s="6" t="s">
        <v>12997</v>
      </c>
      <c r="J5039" s="5">
        <v>238</v>
      </c>
    </row>
    <row r="5040" s="2" customFormat="1" spans="1:10">
      <c r="A5040" s="6">
        <f>5038</f>
        <v>5038</v>
      </c>
      <c r="B5040" s="6" t="s">
        <v>12998</v>
      </c>
      <c r="C5040" s="6" t="s">
        <v>12</v>
      </c>
      <c r="D5040" s="6" t="s">
        <v>11447</v>
      </c>
      <c r="E5040" s="6" t="s">
        <v>12822</v>
      </c>
      <c r="F5040" s="6" t="s">
        <v>12999</v>
      </c>
      <c r="G5040" s="6" t="s">
        <v>16</v>
      </c>
      <c r="H5040" s="5">
        <v>1</v>
      </c>
      <c r="I5040" s="6" t="s">
        <v>12999</v>
      </c>
      <c r="J5040" s="5">
        <v>228</v>
      </c>
    </row>
    <row r="5041" s="2" customFormat="1" spans="1:10">
      <c r="A5041" s="6">
        <f>5039</f>
        <v>5039</v>
      </c>
      <c r="B5041" s="6" t="s">
        <v>13000</v>
      </c>
      <c r="C5041" s="6" t="s">
        <v>12</v>
      </c>
      <c r="D5041" s="6" t="s">
        <v>11447</v>
      </c>
      <c r="E5041" s="6" t="s">
        <v>12822</v>
      </c>
      <c r="F5041" s="6" t="s">
        <v>13001</v>
      </c>
      <c r="G5041" s="6" t="s">
        <v>16</v>
      </c>
      <c r="H5041" s="5">
        <v>1</v>
      </c>
      <c r="I5041" s="6" t="s">
        <v>13001</v>
      </c>
      <c r="J5041" s="5">
        <v>233</v>
      </c>
    </row>
    <row r="5042" s="2" customFormat="1" spans="1:10">
      <c r="A5042" s="6">
        <f>5040</f>
        <v>5040</v>
      </c>
      <c r="B5042" s="6" t="s">
        <v>13002</v>
      </c>
      <c r="C5042" s="6" t="s">
        <v>12</v>
      </c>
      <c r="D5042" s="6" t="s">
        <v>11447</v>
      </c>
      <c r="E5042" s="6" t="s">
        <v>12822</v>
      </c>
      <c r="F5042" s="6" t="s">
        <v>13003</v>
      </c>
      <c r="G5042" s="6" t="s">
        <v>16</v>
      </c>
      <c r="H5042" s="5">
        <v>1</v>
      </c>
      <c r="I5042" s="6" t="s">
        <v>13003</v>
      </c>
      <c r="J5042" s="5">
        <v>248</v>
      </c>
    </row>
    <row r="5043" s="2" customFormat="1" ht="27" spans="1:10">
      <c r="A5043" s="6">
        <f>5041</f>
        <v>5041</v>
      </c>
      <c r="B5043" s="6" t="s">
        <v>13004</v>
      </c>
      <c r="C5043" s="6" t="s">
        <v>12</v>
      </c>
      <c r="D5043" s="6" t="s">
        <v>13005</v>
      </c>
      <c r="E5043" s="6" t="s">
        <v>13006</v>
      </c>
      <c r="F5043" s="6" t="s">
        <v>13007</v>
      </c>
      <c r="G5043" s="6" t="s">
        <v>16</v>
      </c>
      <c r="H5043" s="5">
        <v>5</v>
      </c>
      <c r="I5043" s="6" t="s">
        <v>13008</v>
      </c>
      <c r="J5043" s="5">
        <v>1032</v>
      </c>
    </row>
    <row r="5044" s="2" customFormat="1" spans="1:10">
      <c r="A5044" s="6">
        <f>5042</f>
        <v>5042</v>
      </c>
      <c r="B5044" s="6" t="s">
        <v>13009</v>
      </c>
      <c r="C5044" s="6" t="s">
        <v>12</v>
      </c>
      <c r="D5044" s="6" t="s">
        <v>13005</v>
      </c>
      <c r="E5044" s="6" t="s">
        <v>13006</v>
      </c>
      <c r="F5044" s="6" t="s">
        <v>13010</v>
      </c>
      <c r="G5044" s="6" t="s">
        <v>16</v>
      </c>
      <c r="H5044" s="5">
        <v>3</v>
      </c>
      <c r="I5044" s="6" t="s">
        <v>13011</v>
      </c>
      <c r="J5044" s="5">
        <v>1380</v>
      </c>
    </row>
    <row r="5045" s="2" customFormat="1" ht="27" spans="1:10">
      <c r="A5045" s="6">
        <f>5043</f>
        <v>5043</v>
      </c>
      <c r="B5045" s="6" t="s">
        <v>13012</v>
      </c>
      <c r="C5045" s="6" t="s">
        <v>12</v>
      </c>
      <c r="D5045" s="6" t="s">
        <v>13005</v>
      </c>
      <c r="E5045" s="6" t="s">
        <v>13006</v>
      </c>
      <c r="F5045" s="6" t="s">
        <v>13013</v>
      </c>
      <c r="G5045" s="6" t="s">
        <v>16</v>
      </c>
      <c r="H5045" s="5">
        <v>4</v>
      </c>
      <c r="I5045" s="6" t="s">
        <v>13014</v>
      </c>
      <c r="J5045" s="5">
        <v>1372</v>
      </c>
    </row>
    <row r="5046" s="2" customFormat="1" spans="1:10">
      <c r="A5046" s="6">
        <f>5044</f>
        <v>5044</v>
      </c>
      <c r="B5046" s="6" t="s">
        <v>13015</v>
      </c>
      <c r="C5046" s="6" t="s">
        <v>12</v>
      </c>
      <c r="D5046" s="6" t="s">
        <v>13005</v>
      </c>
      <c r="E5046" s="6" t="s">
        <v>13006</v>
      </c>
      <c r="F5046" s="6" t="s">
        <v>13016</v>
      </c>
      <c r="G5046" s="6" t="s">
        <v>16</v>
      </c>
      <c r="H5046" s="5">
        <v>3</v>
      </c>
      <c r="I5046" s="6" t="s">
        <v>13017</v>
      </c>
      <c r="J5046" s="5">
        <v>930</v>
      </c>
    </row>
    <row r="5047" s="2" customFormat="1" spans="1:10">
      <c r="A5047" s="6">
        <f>5045</f>
        <v>5045</v>
      </c>
      <c r="B5047" s="6" t="s">
        <v>13018</v>
      </c>
      <c r="C5047" s="6" t="s">
        <v>12</v>
      </c>
      <c r="D5047" s="6" t="s">
        <v>13005</v>
      </c>
      <c r="E5047" s="6" t="s">
        <v>13006</v>
      </c>
      <c r="F5047" s="6" t="s">
        <v>13019</v>
      </c>
      <c r="G5047" s="6" t="s">
        <v>16</v>
      </c>
      <c r="H5047" s="5">
        <v>1</v>
      </c>
      <c r="I5047" s="6" t="s">
        <v>13019</v>
      </c>
      <c r="J5047" s="5">
        <v>340</v>
      </c>
    </row>
    <row r="5048" s="2" customFormat="1" ht="40.5" spans="1:10">
      <c r="A5048" s="6">
        <f>5046</f>
        <v>5046</v>
      </c>
      <c r="B5048" s="6" t="s">
        <v>13020</v>
      </c>
      <c r="C5048" s="6" t="s">
        <v>12</v>
      </c>
      <c r="D5048" s="6" t="s">
        <v>13005</v>
      </c>
      <c r="E5048" s="6" t="s">
        <v>13006</v>
      </c>
      <c r="F5048" s="6" t="s">
        <v>13021</v>
      </c>
      <c r="G5048" s="6" t="s">
        <v>16</v>
      </c>
      <c r="H5048" s="5">
        <v>9</v>
      </c>
      <c r="I5048" s="6" t="s">
        <v>13022</v>
      </c>
      <c r="J5048" s="5">
        <v>2175</v>
      </c>
    </row>
    <row r="5049" s="2" customFormat="1" spans="1:10">
      <c r="A5049" s="6">
        <f>5047</f>
        <v>5047</v>
      </c>
      <c r="B5049" s="6" t="s">
        <v>13023</v>
      </c>
      <c r="C5049" s="6" t="s">
        <v>12</v>
      </c>
      <c r="D5049" s="6" t="s">
        <v>13005</v>
      </c>
      <c r="E5049" s="6" t="s">
        <v>13006</v>
      </c>
      <c r="F5049" s="6" t="s">
        <v>13024</v>
      </c>
      <c r="G5049" s="6" t="s">
        <v>16</v>
      </c>
      <c r="H5049" s="5">
        <v>2</v>
      </c>
      <c r="I5049" s="6" t="s">
        <v>13025</v>
      </c>
      <c r="J5049" s="5">
        <v>470</v>
      </c>
    </row>
    <row r="5050" s="2" customFormat="1" spans="1:10">
      <c r="A5050" s="6">
        <f>5048</f>
        <v>5048</v>
      </c>
      <c r="B5050" s="6" t="s">
        <v>13026</v>
      </c>
      <c r="C5050" s="6" t="s">
        <v>12</v>
      </c>
      <c r="D5050" s="6" t="s">
        <v>13005</v>
      </c>
      <c r="E5050" s="6" t="s">
        <v>13006</v>
      </c>
      <c r="F5050" s="6" t="s">
        <v>13027</v>
      </c>
      <c r="G5050" s="6" t="s">
        <v>16</v>
      </c>
      <c r="H5050" s="5">
        <v>1</v>
      </c>
      <c r="I5050" s="6" t="s">
        <v>13027</v>
      </c>
      <c r="J5050" s="5">
        <v>540</v>
      </c>
    </row>
    <row r="5051" s="2" customFormat="1" spans="1:10">
      <c r="A5051" s="6">
        <f>5049</f>
        <v>5049</v>
      </c>
      <c r="B5051" s="6" t="s">
        <v>13028</v>
      </c>
      <c r="C5051" s="6" t="s">
        <v>12</v>
      </c>
      <c r="D5051" s="6" t="s">
        <v>13005</v>
      </c>
      <c r="E5051" s="6" t="s">
        <v>13006</v>
      </c>
      <c r="F5051" s="6" t="s">
        <v>13029</v>
      </c>
      <c r="G5051" s="6" t="s">
        <v>16</v>
      </c>
      <c r="H5051" s="5">
        <v>1</v>
      </c>
      <c r="I5051" s="6" t="s">
        <v>13029</v>
      </c>
      <c r="J5051" s="5">
        <v>540</v>
      </c>
    </row>
    <row r="5052" s="2" customFormat="1" spans="1:10">
      <c r="A5052" s="6">
        <f>5050</f>
        <v>5050</v>
      </c>
      <c r="B5052" s="6" t="s">
        <v>13030</v>
      </c>
      <c r="C5052" s="6" t="s">
        <v>12</v>
      </c>
      <c r="D5052" s="6" t="s">
        <v>13005</v>
      </c>
      <c r="E5052" s="6" t="s">
        <v>13006</v>
      </c>
      <c r="F5052" s="6" t="s">
        <v>13031</v>
      </c>
      <c r="G5052" s="6" t="s">
        <v>16</v>
      </c>
      <c r="H5052" s="5">
        <v>3</v>
      </c>
      <c r="I5052" s="6" t="s">
        <v>13032</v>
      </c>
      <c r="J5052" s="5">
        <v>780</v>
      </c>
    </row>
    <row r="5053" s="2" customFormat="1" spans="1:10">
      <c r="A5053" s="6">
        <f>5051</f>
        <v>5051</v>
      </c>
      <c r="B5053" s="6" t="s">
        <v>13033</v>
      </c>
      <c r="C5053" s="6" t="s">
        <v>12</v>
      </c>
      <c r="D5053" s="6" t="s">
        <v>13005</v>
      </c>
      <c r="E5053" s="6" t="s">
        <v>13006</v>
      </c>
      <c r="F5053" s="6" t="s">
        <v>13034</v>
      </c>
      <c r="G5053" s="6" t="s">
        <v>16</v>
      </c>
      <c r="H5053" s="5">
        <v>2</v>
      </c>
      <c r="I5053" s="6" t="s">
        <v>13035</v>
      </c>
      <c r="J5053" s="5">
        <v>1130</v>
      </c>
    </row>
    <row r="5054" s="2" customFormat="1" spans="1:10">
      <c r="A5054" s="6">
        <f>5052</f>
        <v>5052</v>
      </c>
      <c r="B5054" s="6" t="s">
        <v>13036</v>
      </c>
      <c r="C5054" s="6" t="s">
        <v>12</v>
      </c>
      <c r="D5054" s="6" t="s">
        <v>13005</v>
      </c>
      <c r="E5054" s="6" t="s">
        <v>13006</v>
      </c>
      <c r="F5054" s="6" t="s">
        <v>13037</v>
      </c>
      <c r="G5054" s="6" t="s">
        <v>16</v>
      </c>
      <c r="H5054" s="5">
        <v>1</v>
      </c>
      <c r="I5054" s="6" t="s">
        <v>13037</v>
      </c>
      <c r="J5054" s="5">
        <v>540</v>
      </c>
    </row>
    <row r="5055" s="2" customFormat="1" spans="1:10">
      <c r="A5055" s="6">
        <f>5053</f>
        <v>5053</v>
      </c>
      <c r="B5055" s="6" t="s">
        <v>13038</v>
      </c>
      <c r="C5055" s="6" t="s">
        <v>12</v>
      </c>
      <c r="D5055" s="6" t="s">
        <v>13005</v>
      </c>
      <c r="E5055" s="6" t="s">
        <v>13006</v>
      </c>
      <c r="F5055" s="6" t="s">
        <v>13039</v>
      </c>
      <c r="G5055" s="6" t="s">
        <v>16</v>
      </c>
      <c r="H5055" s="5">
        <v>1</v>
      </c>
      <c r="I5055" s="6" t="s">
        <v>13039</v>
      </c>
      <c r="J5055" s="5">
        <v>620</v>
      </c>
    </row>
    <row r="5056" s="2" customFormat="1" spans="1:10">
      <c r="A5056" s="6">
        <f>5054</f>
        <v>5054</v>
      </c>
      <c r="B5056" s="6" t="s">
        <v>13040</v>
      </c>
      <c r="C5056" s="6" t="s">
        <v>12</v>
      </c>
      <c r="D5056" s="6" t="s">
        <v>13005</v>
      </c>
      <c r="E5056" s="6" t="s">
        <v>13006</v>
      </c>
      <c r="F5056" s="6" t="s">
        <v>13041</v>
      </c>
      <c r="G5056" s="6" t="s">
        <v>16</v>
      </c>
      <c r="H5056" s="5">
        <v>1</v>
      </c>
      <c r="I5056" s="6" t="s">
        <v>13041</v>
      </c>
      <c r="J5056" s="5">
        <v>370</v>
      </c>
    </row>
    <row r="5057" s="2" customFormat="1" ht="40.5" spans="1:10">
      <c r="A5057" s="6">
        <f>5055</f>
        <v>5055</v>
      </c>
      <c r="B5057" s="6" t="s">
        <v>13042</v>
      </c>
      <c r="C5057" s="6" t="s">
        <v>12</v>
      </c>
      <c r="D5057" s="6" t="s">
        <v>13005</v>
      </c>
      <c r="E5057" s="6" t="s">
        <v>13006</v>
      </c>
      <c r="F5057" s="6" t="s">
        <v>13043</v>
      </c>
      <c r="G5057" s="6" t="s">
        <v>16</v>
      </c>
      <c r="H5057" s="5">
        <v>7</v>
      </c>
      <c r="I5057" s="6" t="s">
        <v>13044</v>
      </c>
      <c r="J5057" s="5">
        <v>1400</v>
      </c>
    </row>
    <row r="5058" s="2" customFormat="1" ht="27" spans="1:10">
      <c r="A5058" s="6">
        <f>5056</f>
        <v>5056</v>
      </c>
      <c r="B5058" s="6" t="s">
        <v>13045</v>
      </c>
      <c r="C5058" s="6" t="s">
        <v>12</v>
      </c>
      <c r="D5058" s="6" t="s">
        <v>13005</v>
      </c>
      <c r="E5058" s="6" t="s">
        <v>13006</v>
      </c>
      <c r="F5058" s="6" t="s">
        <v>13046</v>
      </c>
      <c r="G5058" s="6" t="s">
        <v>16</v>
      </c>
      <c r="H5058" s="5">
        <v>5</v>
      </c>
      <c r="I5058" s="6" t="s">
        <v>13047</v>
      </c>
      <c r="J5058" s="5">
        <v>1200</v>
      </c>
    </row>
    <row r="5059" s="2" customFormat="1" ht="27" spans="1:10">
      <c r="A5059" s="6">
        <f>5057</f>
        <v>5057</v>
      </c>
      <c r="B5059" s="6" t="s">
        <v>13048</v>
      </c>
      <c r="C5059" s="6" t="s">
        <v>12</v>
      </c>
      <c r="D5059" s="6" t="s">
        <v>13005</v>
      </c>
      <c r="E5059" s="6" t="s">
        <v>13006</v>
      </c>
      <c r="F5059" s="6" t="s">
        <v>13049</v>
      </c>
      <c r="G5059" s="6" t="s">
        <v>16</v>
      </c>
      <c r="H5059" s="5">
        <v>4</v>
      </c>
      <c r="I5059" s="6" t="s">
        <v>13050</v>
      </c>
      <c r="J5059" s="5">
        <v>796</v>
      </c>
    </row>
    <row r="5060" s="2" customFormat="1" ht="27" spans="1:10">
      <c r="A5060" s="6">
        <f>5058</f>
        <v>5058</v>
      </c>
      <c r="B5060" s="6" t="s">
        <v>13051</v>
      </c>
      <c r="C5060" s="6" t="s">
        <v>12</v>
      </c>
      <c r="D5060" s="6" t="s">
        <v>13005</v>
      </c>
      <c r="E5060" s="6" t="s">
        <v>13006</v>
      </c>
      <c r="F5060" s="6" t="s">
        <v>13052</v>
      </c>
      <c r="G5060" s="6" t="s">
        <v>16</v>
      </c>
      <c r="H5060" s="5">
        <v>5</v>
      </c>
      <c r="I5060" s="6" t="s">
        <v>13053</v>
      </c>
      <c r="J5060" s="5">
        <v>1360</v>
      </c>
    </row>
    <row r="5061" s="2" customFormat="1" spans="1:10">
      <c r="A5061" s="6">
        <f>5059</f>
        <v>5059</v>
      </c>
      <c r="B5061" s="6" t="s">
        <v>13054</v>
      </c>
      <c r="C5061" s="6" t="s">
        <v>12</v>
      </c>
      <c r="D5061" s="6" t="s">
        <v>13005</v>
      </c>
      <c r="E5061" s="6" t="s">
        <v>13006</v>
      </c>
      <c r="F5061" s="6" t="s">
        <v>13055</v>
      </c>
      <c r="G5061" s="6" t="s">
        <v>16</v>
      </c>
      <c r="H5061" s="5">
        <v>2</v>
      </c>
      <c r="I5061" s="6" t="s">
        <v>13056</v>
      </c>
      <c r="J5061" s="5">
        <v>680</v>
      </c>
    </row>
    <row r="5062" s="2" customFormat="1" spans="1:10">
      <c r="A5062" s="6">
        <f>5060</f>
        <v>5060</v>
      </c>
      <c r="B5062" s="6" t="s">
        <v>13057</v>
      </c>
      <c r="C5062" s="6" t="s">
        <v>12</v>
      </c>
      <c r="D5062" s="6" t="s">
        <v>13005</v>
      </c>
      <c r="E5062" s="6" t="s">
        <v>13006</v>
      </c>
      <c r="F5062" s="6" t="s">
        <v>13058</v>
      </c>
      <c r="G5062" s="6" t="s">
        <v>16</v>
      </c>
      <c r="H5062" s="5">
        <v>2</v>
      </c>
      <c r="I5062" s="6" t="s">
        <v>13059</v>
      </c>
      <c r="J5062" s="5">
        <v>520</v>
      </c>
    </row>
    <row r="5063" s="2" customFormat="1" spans="1:10">
      <c r="A5063" s="6">
        <f>5061</f>
        <v>5061</v>
      </c>
      <c r="B5063" s="6" t="s">
        <v>13060</v>
      </c>
      <c r="C5063" s="6" t="s">
        <v>12</v>
      </c>
      <c r="D5063" s="6" t="s">
        <v>13005</v>
      </c>
      <c r="E5063" s="6" t="s">
        <v>13006</v>
      </c>
      <c r="F5063" s="6" t="s">
        <v>13061</v>
      </c>
      <c r="G5063" s="6" t="s">
        <v>16</v>
      </c>
      <c r="H5063" s="5">
        <v>2</v>
      </c>
      <c r="I5063" s="6" t="s">
        <v>13062</v>
      </c>
      <c r="J5063" s="5">
        <v>680</v>
      </c>
    </row>
    <row r="5064" s="2" customFormat="1" spans="1:10">
      <c r="A5064" s="6">
        <f>5062</f>
        <v>5062</v>
      </c>
      <c r="B5064" s="6" t="s">
        <v>13063</v>
      </c>
      <c r="C5064" s="6" t="s">
        <v>12</v>
      </c>
      <c r="D5064" s="6" t="s">
        <v>13005</v>
      </c>
      <c r="E5064" s="6" t="s">
        <v>13006</v>
      </c>
      <c r="F5064" s="6" t="s">
        <v>13064</v>
      </c>
      <c r="G5064" s="6" t="s">
        <v>16</v>
      </c>
      <c r="H5064" s="5">
        <v>1</v>
      </c>
      <c r="I5064" s="6" t="s">
        <v>13064</v>
      </c>
      <c r="J5064" s="5">
        <v>260</v>
      </c>
    </row>
    <row r="5065" s="2" customFormat="1" spans="1:10">
      <c r="A5065" s="6">
        <f>5063</f>
        <v>5063</v>
      </c>
      <c r="B5065" s="6" t="s">
        <v>13065</v>
      </c>
      <c r="C5065" s="6" t="s">
        <v>12</v>
      </c>
      <c r="D5065" s="6" t="s">
        <v>13005</v>
      </c>
      <c r="E5065" s="6" t="s">
        <v>13006</v>
      </c>
      <c r="F5065" s="6" t="s">
        <v>13066</v>
      </c>
      <c r="G5065" s="6" t="s">
        <v>16</v>
      </c>
      <c r="H5065" s="5">
        <v>2</v>
      </c>
      <c r="I5065" s="6" t="s">
        <v>13067</v>
      </c>
      <c r="J5065" s="5">
        <v>680</v>
      </c>
    </row>
    <row r="5066" s="2" customFormat="1" spans="1:10">
      <c r="A5066" s="6">
        <f>5064</f>
        <v>5064</v>
      </c>
      <c r="B5066" s="6" t="s">
        <v>13068</v>
      </c>
      <c r="C5066" s="6" t="s">
        <v>12</v>
      </c>
      <c r="D5066" s="6" t="s">
        <v>13005</v>
      </c>
      <c r="E5066" s="6" t="s">
        <v>13006</v>
      </c>
      <c r="F5066" s="6" t="s">
        <v>13069</v>
      </c>
      <c r="G5066" s="6" t="s">
        <v>16</v>
      </c>
      <c r="H5066" s="5">
        <v>2</v>
      </c>
      <c r="I5066" s="6" t="s">
        <v>13070</v>
      </c>
      <c r="J5066" s="5">
        <v>515</v>
      </c>
    </row>
    <row r="5067" s="2" customFormat="1" ht="27" spans="1:10">
      <c r="A5067" s="6">
        <f>5065</f>
        <v>5065</v>
      </c>
      <c r="B5067" s="6" t="s">
        <v>13071</v>
      </c>
      <c r="C5067" s="6" t="s">
        <v>12</v>
      </c>
      <c r="D5067" s="6" t="s">
        <v>13005</v>
      </c>
      <c r="E5067" s="6" t="s">
        <v>13006</v>
      </c>
      <c r="F5067" s="6" t="s">
        <v>13072</v>
      </c>
      <c r="G5067" s="6" t="s">
        <v>16</v>
      </c>
      <c r="H5067" s="5">
        <v>4</v>
      </c>
      <c r="I5067" s="6" t="s">
        <v>13073</v>
      </c>
      <c r="J5067" s="5">
        <v>900</v>
      </c>
    </row>
    <row r="5068" s="2" customFormat="1" spans="1:10">
      <c r="A5068" s="6">
        <f>5066</f>
        <v>5066</v>
      </c>
      <c r="B5068" s="6" t="s">
        <v>13074</v>
      </c>
      <c r="C5068" s="6" t="s">
        <v>12</v>
      </c>
      <c r="D5068" s="6" t="s">
        <v>13005</v>
      </c>
      <c r="E5068" s="6" t="s">
        <v>13006</v>
      </c>
      <c r="F5068" s="6" t="s">
        <v>13075</v>
      </c>
      <c r="G5068" s="6" t="s">
        <v>16</v>
      </c>
      <c r="H5068" s="5">
        <v>2</v>
      </c>
      <c r="I5068" s="6" t="s">
        <v>13076</v>
      </c>
      <c r="J5068" s="5">
        <v>489</v>
      </c>
    </row>
    <row r="5069" s="2" customFormat="1" spans="1:10">
      <c r="A5069" s="6">
        <f>5067</f>
        <v>5067</v>
      </c>
      <c r="B5069" s="6" t="s">
        <v>13077</v>
      </c>
      <c r="C5069" s="6" t="s">
        <v>12</v>
      </c>
      <c r="D5069" s="6" t="s">
        <v>13005</v>
      </c>
      <c r="E5069" s="6" t="s">
        <v>13006</v>
      </c>
      <c r="F5069" s="6" t="s">
        <v>13078</v>
      </c>
      <c r="G5069" s="6" t="s">
        <v>16</v>
      </c>
      <c r="H5069" s="5">
        <v>1</v>
      </c>
      <c r="I5069" s="6" t="s">
        <v>13078</v>
      </c>
      <c r="J5069" s="5">
        <v>245</v>
      </c>
    </row>
    <row r="5070" s="2" customFormat="1" spans="1:10">
      <c r="A5070" s="6">
        <f>5068</f>
        <v>5068</v>
      </c>
      <c r="B5070" s="6" t="s">
        <v>13079</v>
      </c>
      <c r="C5070" s="6" t="s">
        <v>12</v>
      </c>
      <c r="D5070" s="6" t="s">
        <v>13005</v>
      </c>
      <c r="E5070" s="6" t="s">
        <v>13006</v>
      </c>
      <c r="F5070" s="6" t="s">
        <v>13080</v>
      </c>
      <c r="G5070" s="6" t="s">
        <v>16</v>
      </c>
      <c r="H5070" s="5">
        <v>1</v>
      </c>
      <c r="I5070" s="6" t="s">
        <v>13080</v>
      </c>
      <c r="J5070" s="5">
        <v>290</v>
      </c>
    </row>
    <row r="5071" s="2" customFormat="1" spans="1:10">
      <c r="A5071" s="6">
        <f>5069</f>
        <v>5069</v>
      </c>
      <c r="B5071" s="6" t="s">
        <v>13081</v>
      </c>
      <c r="C5071" s="6" t="s">
        <v>12</v>
      </c>
      <c r="D5071" s="6" t="s">
        <v>13005</v>
      </c>
      <c r="E5071" s="6" t="s">
        <v>13006</v>
      </c>
      <c r="F5071" s="6" t="s">
        <v>13082</v>
      </c>
      <c r="G5071" s="6" t="s">
        <v>16</v>
      </c>
      <c r="H5071" s="5">
        <v>1</v>
      </c>
      <c r="I5071" s="6" t="s">
        <v>13082</v>
      </c>
      <c r="J5071" s="5">
        <v>260</v>
      </c>
    </row>
    <row r="5072" s="2" customFormat="1" ht="27" spans="1:10">
      <c r="A5072" s="6">
        <f>5070</f>
        <v>5070</v>
      </c>
      <c r="B5072" s="6" t="s">
        <v>13083</v>
      </c>
      <c r="C5072" s="6" t="s">
        <v>12</v>
      </c>
      <c r="D5072" s="6" t="s">
        <v>13005</v>
      </c>
      <c r="E5072" s="6" t="s">
        <v>13084</v>
      </c>
      <c r="F5072" s="6" t="s">
        <v>13085</v>
      </c>
      <c r="G5072" s="6" t="s">
        <v>16</v>
      </c>
      <c r="H5072" s="5">
        <v>6</v>
      </c>
      <c r="I5072" s="6" t="s">
        <v>13086</v>
      </c>
      <c r="J5072" s="5">
        <v>1168</v>
      </c>
    </row>
    <row r="5073" s="2" customFormat="1" ht="27" spans="1:10">
      <c r="A5073" s="6">
        <f>5071</f>
        <v>5071</v>
      </c>
      <c r="B5073" s="6" t="s">
        <v>13087</v>
      </c>
      <c r="C5073" s="6" t="s">
        <v>12</v>
      </c>
      <c r="D5073" s="6" t="s">
        <v>13005</v>
      </c>
      <c r="E5073" s="6" t="s">
        <v>13084</v>
      </c>
      <c r="F5073" s="6" t="s">
        <v>13088</v>
      </c>
      <c r="G5073" s="6" t="s">
        <v>16</v>
      </c>
      <c r="H5073" s="5">
        <v>5</v>
      </c>
      <c r="I5073" s="6" t="s">
        <v>13089</v>
      </c>
      <c r="J5073" s="5">
        <v>1178</v>
      </c>
    </row>
    <row r="5074" s="2" customFormat="1" ht="27" spans="1:10">
      <c r="A5074" s="6">
        <f>5072</f>
        <v>5072</v>
      </c>
      <c r="B5074" s="6" t="s">
        <v>13090</v>
      </c>
      <c r="C5074" s="6" t="s">
        <v>12</v>
      </c>
      <c r="D5074" s="6" t="s">
        <v>13005</v>
      </c>
      <c r="E5074" s="6" t="s">
        <v>13084</v>
      </c>
      <c r="F5074" s="6" t="s">
        <v>13091</v>
      </c>
      <c r="G5074" s="6" t="s">
        <v>16</v>
      </c>
      <c r="H5074" s="5">
        <v>6</v>
      </c>
      <c r="I5074" s="6" t="s">
        <v>13092</v>
      </c>
      <c r="J5074" s="5">
        <v>1500</v>
      </c>
    </row>
    <row r="5075" s="2" customFormat="1" spans="1:10">
      <c r="A5075" s="6">
        <f>5073</f>
        <v>5073</v>
      </c>
      <c r="B5075" s="6" t="s">
        <v>13093</v>
      </c>
      <c r="C5075" s="6" t="s">
        <v>12</v>
      </c>
      <c r="D5075" s="6" t="s">
        <v>13005</v>
      </c>
      <c r="E5075" s="6" t="s">
        <v>13084</v>
      </c>
      <c r="F5075" s="6" t="s">
        <v>13094</v>
      </c>
      <c r="G5075" s="6" t="s">
        <v>16</v>
      </c>
      <c r="H5075" s="5">
        <v>1</v>
      </c>
      <c r="I5075" s="6" t="s">
        <v>13094</v>
      </c>
      <c r="J5075" s="5">
        <v>493</v>
      </c>
    </row>
    <row r="5076" s="2" customFormat="1" spans="1:10">
      <c r="A5076" s="6">
        <f>5074</f>
        <v>5074</v>
      </c>
      <c r="B5076" s="6" t="s">
        <v>13095</v>
      </c>
      <c r="C5076" s="6" t="s">
        <v>12</v>
      </c>
      <c r="D5076" s="6" t="s">
        <v>13005</v>
      </c>
      <c r="E5076" s="6" t="s">
        <v>13084</v>
      </c>
      <c r="F5076" s="6" t="s">
        <v>13096</v>
      </c>
      <c r="G5076" s="6" t="s">
        <v>16</v>
      </c>
      <c r="H5076" s="5">
        <v>2</v>
      </c>
      <c r="I5076" s="6" t="s">
        <v>13097</v>
      </c>
      <c r="J5076" s="5">
        <v>620</v>
      </c>
    </row>
    <row r="5077" s="2" customFormat="1" spans="1:10">
      <c r="A5077" s="6">
        <f>5075</f>
        <v>5075</v>
      </c>
      <c r="B5077" s="6" t="s">
        <v>13098</v>
      </c>
      <c r="C5077" s="6" t="s">
        <v>12</v>
      </c>
      <c r="D5077" s="6" t="s">
        <v>13005</v>
      </c>
      <c r="E5077" s="6" t="s">
        <v>13084</v>
      </c>
      <c r="F5077" s="6" t="s">
        <v>13099</v>
      </c>
      <c r="G5077" s="6" t="s">
        <v>16</v>
      </c>
      <c r="H5077" s="5">
        <v>2</v>
      </c>
      <c r="I5077" s="6" t="s">
        <v>13100</v>
      </c>
      <c r="J5077" s="5">
        <v>546</v>
      </c>
    </row>
    <row r="5078" s="2" customFormat="1" spans="1:10">
      <c r="A5078" s="6">
        <f>5076</f>
        <v>5076</v>
      </c>
      <c r="B5078" s="6" t="s">
        <v>13101</v>
      </c>
      <c r="C5078" s="6" t="s">
        <v>12</v>
      </c>
      <c r="D5078" s="6" t="s">
        <v>13005</v>
      </c>
      <c r="E5078" s="6" t="s">
        <v>13084</v>
      </c>
      <c r="F5078" s="6" t="s">
        <v>13102</v>
      </c>
      <c r="G5078" s="6" t="s">
        <v>16</v>
      </c>
      <c r="H5078" s="5">
        <v>2</v>
      </c>
      <c r="I5078" s="6" t="s">
        <v>13103</v>
      </c>
      <c r="J5078" s="5">
        <v>1240</v>
      </c>
    </row>
    <row r="5079" s="2" customFormat="1" ht="27" spans="1:10">
      <c r="A5079" s="6">
        <f>5077</f>
        <v>5077</v>
      </c>
      <c r="B5079" s="6" t="s">
        <v>13104</v>
      </c>
      <c r="C5079" s="6" t="s">
        <v>12</v>
      </c>
      <c r="D5079" s="6" t="s">
        <v>13005</v>
      </c>
      <c r="E5079" s="6" t="s">
        <v>13084</v>
      </c>
      <c r="F5079" s="6" t="s">
        <v>13105</v>
      </c>
      <c r="G5079" s="6" t="s">
        <v>16</v>
      </c>
      <c r="H5079" s="5">
        <v>5</v>
      </c>
      <c r="I5079" s="6" t="s">
        <v>13106</v>
      </c>
      <c r="J5079" s="5">
        <v>1065</v>
      </c>
    </row>
    <row r="5080" s="2" customFormat="1" spans="1:10">
      <c r="A5080" s="6">
        <f>5078</f>
        <v>5078</v>
      </c>
      <c r="B5080" s="6" t="s">
        <v>13107</v>
      </c>
      <c r="C5080" s="6" t="s">
        <v>12</v>
      </c>
      <c r="D5080" s="6" t="s">
        <v>13005</v>
      </c>
      <c r="E5080" s="6" t="s">
        <v>13084</v>
      </c>
      <c r="F5080" s="6" t="s">
        <v>13108</v>
      </c>
      <c r="G5080" s="6" t="s">
        <v>16</v>
      </c>
      <c r="H5080" s="5">
        <v>2</v>
      </c>
      <c r="I5080" s="6" t="s">
        <v>13109</v>
      </c>
      <c r="J5080" s="5">
        <v>720</v>
      </c>
    </row>
    <row r="5081" s="2" customFormat="1" spans="1:10">
      <c r="A5081" s="6">
        <f>5079</f>
        <v>5079</v>
      </c>
      <c r="B5081" s="6" t="s">
        <v>13110</v>
      </c>
      <c r="C5081" s="6" t="s">
        <v>12</v>
      </c>
      <c r="D5081" s="6" t="s">
        <v>13005</v>
      </c>
      <c r="E5081" s="6" t="s">
        <v>13084</v>
      </c>
      <c r="F5081" s="6" t="s">
        <v>13111</v>
      </c>
      <c r="G5081" s="6" t="s">
        <v>16</v>
      </c>
      <c r="H5081" s="5">
        <v>1</v>
      </c>
      <c r="I5081" s="6" t="s">
        <v>13111</v>
      </c>
      <c r="J5081" s="5">
        <v>393</v>
      </c>
    </row>
    <row r="5082" s="2" customFormat="1" spans="1:10">
      <c r="A5082" s="6">
        <f>5080</f>
        <v>5080</v>
      </c>
      <c r="B5082" s="6" t="s">
        <v>13112</v>
      </c>
      <c r="C5082" s="6" t="s">
        <v>12</v>
      </c>
      <c r="D5082" s="6" t="s">
        <v>13005</v>
      </c>
      <c r="E5082" s="6" t="s">
        <v>13084</v>
      </c>
      <c r="F5082" s="6" t="s">
        <v>13113</v>
      </c>
      <c r="G5082" s="6" t="s">
        <v>16</v>
      </c>
      <c r="H5082" s="5">
        <v>3</v>
      </c>
      <c r="I5082" s="6" t="s">
        <v>13114</v>
      </c>
      <c r="J5082" s="5">
        <v>880</v>
      </c>
    </row>
    <row r="5083" s="2" customFormat="1" spans="1:10">
      <c r="A5083" s="6">
        <f>5081</f>
        <v>5081</v>
      </c>
      <c r="B5083" s="6" t="s">
        <v>13115</v>
      </c>
      <c r="C5083" s="6" t="s">
        <v>12</v>
      </c>
      <c r="D5083" s="6" t="s">
        <v>13005</v>
      </c>
      <c r="E5083" s="6" t="s">
        <v>13084</v>
      </c>
      <c r="F5083" s="6" t="s">
        <v>13116</v>
      </c>
      <c r="G5083" s="6" t="s">
        <v>16</v>
      </c>
      <c r="H5083" s="5">
        <v>1</v>
      </c>
      <c r="I5083" s="6" t="s">
        <v>13116</v>
      </c>
      <c r="J5083" s="5">
        <v>393</v>
      </c>
    </row>
    <row r="5084" s="2" customFormat="1" ht="27" spans="1:10">
      <c r="A5084" s="6">
        <f>5082</f>
        <v>5082</v>
      </c>
      <c r="B5084" s="6" t="s">
        <v>13117</v>
      </c>
      <c r="C5084" s="6" t="s">
        <v>12</v>
      </c>
      <c r="D5084" s="6" t="s">
        <v>13005</v>
      </c>
      <c r="E5084" s="6" t="s">
        <v>13084</v>
      </c>
      <c r="F5084" s="6" t="s">
        <v>13118</v>
      </c>
      <c r="G5084" s="6" t="s">
        <v>16</v>
      </c>
      <c r="H5084" s="5">
        <v>5</v>
      </c>
      <c r="I5084" s="6" t="s">
        <v>13119</v>
      </c>
      <c r="J5084" s="5">
        <v>1300</v>
      </c>
    </row>
    <row r="5085" s="2" customFormat="1" spans="1:10">
      <c r="A5085" s="6">
        <f>5083</f>
        <v>5083</v>
      </c>
      <c r="B5085" s="6" t="s">
        <v>13120</v>
      </c>
      <c r="C5085" s="6" t="s">
        <v>12</v>
      </c>
      <c r="D5085" s="6" t="s">
        <v>13005</v>
      </c>
      <c r="E5085" s="6" t="s">
        <v>13084</v>
      </c>
      <c r="F5085" s="6" t="s">
        <v>13121</v>
      </c>
      <c r="G5085" s="6" t="s">
        <v>16</v>
      </c>
      <c r="H5085" s="5">
        <v>2</v>
      </c>
      <c r="I5085" s="6" t="s">
        <v>13122</v>
      </c>
      <c r="J5085" s="5">
        <v>890</v>
      </c>
    </row>
    <row r="5086" s="2" customFormat="1" spans="1:10">
      <c r="A5086" s="6">
        <f>5084</f>
        <v>5084</v>
      </c>
      <c r="B5086" s="6" t="s">
        <v>13123</v>
      </c>
      <c r="C5086" s="6" t="s">
        <v>12</v>
      </c>
      <c r="D5086" s="6" t="s">
        <v>13005</v>
      </c>
      <c r="E5086" s="6" t="s">
        <v>13084</v>
      </c>
      <c r="F5086" s="6" t="s">
        <v>13124</v>
      </c>
      <c r="G5086" s="6" t="s">
        <v>16</v>
      </c>
      <c r="H5086" s="5">
        <v>2</v>
      </c>
      <c r="I5086" s="6" t="s">
        <v>13125</v>
      </c>
      <c r="J5086" s="5">
        <v>700</v>
      </c>
    </row>
    <row r="5087" s="2" customFormat="1" spans="1:10">
      <c r="A5087" s="6">
        <f>5085</f>
        <v>5085</v>
      </c>
      <c r="B5087" s="6" t="s">
        <v>13126</v>
      </c>
      <c r="C5087" s="6" t="s">
        <v>12</v>
      </c>
      <c r="D5087" s="6" t="s">
        <v>13005</v>
      </c>
      <c r="E5087" s="6" t="s">
        <v>13084</v>
      </c>
      <c r="F5087" s="6" t="s">
        <v>13127</v>
      </c>
      <c r="G5087" s="6" t="s">
        <v>16</v>
      </c>
      <c r="H5087" s="5">
        <v>2</v>
      </c>
      <c r="I5087" s="6" t="s">
        <v>13128</v>
      </c>
      <c r="J5087" s="5">
        <v>790</v>
      </c>
    </row>
    <row r="5088" s="2" customFormat="1" spans="1:10">
      <c r="A5088" s="6">
        <f>5086</f>
        <v>5086</v>
      </c>
      <c r="B5088" s="6" t="s">
        <v>13129</v>
      </c>
      <c r="C5088" s="6" t="s">
        <v>12</v>
      </c>
      <c r="D5088" s="6" t="s">
        <v>13005</v>
      </c>
      <c r="E5088" s="6" t="s">
        <v>13084</v>
      </c>
      <c r="F5088" s="6" t="s">
        <v>13130</v>
      </c>
      <c r="G5088" s="6" t="s">
        <v>16</v>
      </c>
      <c r="H5088" s="5">
        <v>2</v>
      </c>
      <c r="I5088" s="6" t="s">
        <v>13131</v>
      </c>
      <c r="J5088" s="5">
        <v>1100</v>
      </c>
    </row>
    <row r="5089" s="2" customFormat="1" spans="1:10">
      <c r="A5089" s="6">
        <f>5087</f>
        <v>5087</v>
      </c>
      <c r="B5089" s="6" t="s">
        <v>13132</v>
      </c>
      <c r="C5089" s="6" t="s">
        <v>12</v>
      </c>
      <c r="D5089" s="6" t="s">
        <v>13005</v>
      </c>
      <c r="E5089" s="6" t="s">
        <v>13084</v>
      </c>
      <c r="F5089" s="6" t="s">
        <v>13133</v>
      </c>
      <c r="G5089" s="6" t="s">
        <v>16</v>
      </c>
      <c r="H5089" s="5">
        <v>1</v>
      </c>
      <c r="I5089" s="6" t="s">
        <v>13133</v>
      </c>
      <c r="J5089" s="5">
        <v>620</v>
      </c>
    </row>
    <row r="5090" s="2" customFormat="1" spans="1:10">
      <c r="A5090" s="6">
        <f>5088</f>
        <v>5088</v>
      </c>
      <c r="B5090" s="6" t="s">
        <v>13134</v>
      </c>
      <c r="C5090" s="6" t="s">
        <v>12</v>
      </c>
      <c r="D5090" s="6" t="s">
        <v>13005</v>
      </c>
      <c r="E5090" s="6" t="s">
        <v>13084</v>
      </c>
      <c r="F5090" s="6" t="s">
        <v>13135</v>
      </c>
      <c r="G5090" s="6" t="s">
        <v>16</v>
      </c>
      <c r="H5090" s="5">
        <v>2</v>
      </c>
      <c r="I5090" s="6" t="s">
        <v>13136</v>
      </c>
      <c r="J5090" s="5">
        <v>560</v>
      </c>
    </row>
    <row r="5091" s="2" customFormat="1" spans="1:10">
      <c r="A5091" s="6">
        <f>5089</f>
        <v>5089</v>
      </c>
      <c r="B5091" s="6" t="s">
        <v>13137</v>
      </c>
      <c r="C5091" s="6" t="s">
        <v>12</v>
      </c>
      <c r="D5091" s="6" t="s">
        <v>13005</v>
      </c>
      <c r="E5091" s="6" t="s">
        <v>13084</v>
      </c>
      <c r="F5091" s="6" t="s">
        <v>13138</v>
      </c>
      <c r="G5091" s="6" t="s">
        <v>16</v>
      </c>
      <c r="H5091" s="5">
        <v>3</v>
      </c>
      <c r="I5091" s="6" t="s">
        <v>13139</v>
      </c>
      <c r="J5091" s="5">
        <v>741</v>
      </c>
    </row>
    <row r="5092" s="2" customFormat="1" spans="1:10">
      <c r="A5092" s="6">
        <f>5090</f>
        <v>5090</v>
      </c>
      <c r="B5092" s="6" t="s">
        <v>13140</v>
      </c>
      <c r="C5092" s="6" t="s">
        <v>12</v>
      </c>
      <c r="D5092" s="6" t="s">
        <v>13005</v>
      </c>
      <c r="E5092" s="6" t="s">
        <v>13084</v>
      </c>
      <c r="F5092" s="6" t="s">
        <v>13141</v>
      </c>
      <c r="G5092" s="6" t="s">
        <v>16</v>
      </c>
      <c r="H5092" s="5">
        <v>3</v>
      </c>
      <c r="I5092" s="6" t="s">
        <v>13142</v>
      </c>
      <c r="J5092" s="5">
        <v>1220</v>
      </c>
    </row>
    <row r="5093" s="2" customFormat="1" spans="1:10">
      <c r="A5093" s="6">
        <f>5091</f>
        <v>5091</v>
      </c>
      <c r="B5093" s="6" t="s">
        <v>13143</v>
      </c>
      <c r="C5093" s="6" t="s">
        <v>12</v>
      </c>
      <c r="D5093" s="6" t="s">
        <v>13005</v>
      </c>
      <c r="E5093" s="6" t="s">
        <v>13084</v>
      </c>
      <c r="F5093" s="6" t="s">
        <v>13144</v>
      </c>
      <c r="G5093" s="6" t="s">
        <v>16</v>
      </c>
      <c r="H5093" s="5">
        <v>2</v>
      </c>
      <c r="I5093" s="6" t="s">
        <v>13145</v>
      </c>
      <c r="J5093" s="5">
        <v>980</v>
      </c>
    </row>
    <row r="5094" s="2" customFormat="1" spans="1:10">
      <c r="A5094" s="6">
        <f>5092</f>
        <v>5092</v>
      </c>
      <c r="B5094" s="6" t="s">
        <v>13146</v>
      </c>
      <c r="C5094" s="6" t="s">
        <v>12</v>
      </c>
      <c r="D5094" s="6" t="s">
        <v>13005</v>
      </c>
      <c r="E5094" s="6" t="s">
        <v>13084</v>
      </c>
      <c r="F5094" s="6" t="s">
        <v>13147</v>
      </c>
      <c r="G5094" s="6" t="s">
        <v>16</v>
      </c>
      <c r="H5094" s="5">
        <v>1</v>
      </c>
      <c r="I5094" s="6" t="s">
        <v>13147</v>
      </c>
      <c r="J5094" s="5">
        <v>620</v>
      </c>
    </row>
    <row r="5095" s="2" customFormat="1" spans="1:10">
      <c r="A5095" s="6">
        <f>5093</f>
        <v>5093</v>
      </c>
      <c r="B5095" s="6" t="s">
        <v>13148</v>
      </c>
      <c r="C5095" s="6" t="s">
        <v>12</v>
      </c>
      <c r="D5095" s="6" t="s">
        <v>13005</v>
      </c>
      <c r="E5095" s="6" t="s">
        <v>13084</v>
      </c>
      <c r="F5095" s="6" t="s">
        <v>13149</v>
      </c>
      <c r="G5095" s="6" t="s">
        <v>16</v>
      </c>
      <c r="H5095" s="5">
        <v>1</v>
      </c>
      <c r="I5095" s="6" t="s">
        <v>13149</v>
      </c>
      <c r="J5095" s="5">
        <v>303</v>
      </c>
    </row>
    <row r="5096" s="2" customFormat="1" spans="1:10">
      <c r="A5096" s="6">
        <f>5094</f>
        <v>5094</v>
      </c>
      <c r="B5096" s="6" t="s">
        <v>13150</v>
      </c>
      <c r="C5096" s="6" t="s">
        <v>12</v>
      </c>
      <c r="D5096" s="6" t="s">
        <v>13005</v>
      </c>
      <c r="E5096" s="6" t="s">
        <v>13084</v>
      </c>
      <c r="F5096" s="6" t="s">
        <v>13151</v>
      </c>
      <c r="G5096" s="6" t="s">
        <v>16</v>
      </c>
      <c r="H5096" s="5">
        <v>2</v>
      </c>
      <c r="I5096" s="6" t="s">
        <v>13152</v>
      </c>
      <c r="J5096" s="5">
        <v>817</v>
      </c>
    </row>
    <row r="5097" s="2" customFormat="1" spans="1:10">
      <c r="A5097" s="6">
        <f>5095</f>
        <v>5095</v>
      </c>
      <c r="B5097" s="6" t="s">
        <v>13153</v>
      </c>
      <c r="C5097" s="6" t="s">
        <v>12</v>
      </c>
      <c r="D5097" s="6" t="s">
        <v>13005</v>
      </c>
      <c r="E5097" s="6" t="s">
        <v>13084</v>
      </c>
      <c r="F5097" s="6" t="s">
        <v>13154</v>
      </c>
      <c r="G5097" s="6" t="s">
        <v>16</v>
      </c>
      <c r="H5097" s="5">
        <v>1</v>
      </c>
      <c r="I5097" s="6" t="s">
        <v>13154</v>
      </c>
      <c r="J5097" s="5">
        <v>450</v>
      </c>
    </row>
    <row r="5098" s="2" customFormat="1" spans="1:10">
      <c r="A5098" s="6">
        <f>5096</f>
        <v>5096</v>
      </c>
      <c r="B5098" s="6" t="s">
        <v>13155</v>
      </c>
      <c r="C5098" s="6" t="s">
        <v>12</v>
      </c>
      <c r="D5098" s="6" t="s">
        <v>13005</v>
      </c>
      <c r="E5098" s="6" t="s">
        <v>13084</v>
      </c>
      <c r="F5098" s="6" t="s">
        <v>13156</v>
      </c>
      <c r="G5098" s="6" t="s">
        <v>16</v>
      </c>
      <c r="H5098" s="5">
        <v>1</v>
      </c>
      <c r="I5098" s="6" t="s">
        <v>13156</v>
      </c>
      <c r="J5098" s="5">
        <v>360</v>
      </c>
    </row>
    <row r="5099" s="2" customFormat="1" spans="1:10">
      <c r="A5099" s="6">
        <f>5097</f>
        <v>5097</v>
      </c>
      <c r="B5099" s="6" t="s">
        <v>13157</v>
      </c>
      <c r="C5099" s="6" t="s">
        <v>12</v>
      </c>
      <c r="D5099" s="6" t="s">
        <v>13005</v>
      </c>
      <c r="E5099" s="6" t="s">
        <v>13084</v>
      </c>
      <c r="F5099" s="6" t="s">
        <v>13158</v>
      </c>
      <c r="G5099" s="6" t="s">
        <v>16</v>
      </c>
      <c r="H5099" s="5">
        <v>1</v>
      </c>
      <c r="I5099" s="6" t="s">
        <v>13158</v>
      </c>
      <c r="J5099" s="5">
        <v>261</v>
      </c>
    </row>
    <row r="5100" s="2" customFormat="1" ht="27" spans="1:10">
      <c r="A5100" s="6">
        <f>5098</f>
        <v>5098</v>
      </c>
      <c r="B5100" s="6" t="s">
        <v>13159</v>
      </c>
      <c r="C5100" s="6" t="s">
        <v>12</v>
      </c>
      <c r="D5100" s="6" t="s">
        <v>13005</v>
      </c>
      <c r="E5100" s="6" t="s">
        <v>13084</v>
      </c>
      <c r="F5100" s="6" t="s">
        <v>13160</v>
      </c>
      <c r="G5100" s="6" t="s">
        <v>16</v>
      </c>
      <c r="H5100" s="5">
        <v>4</v>
      </c>
      <c r="I5100" s="6" t="s">
        <v>13161</v>
      </c>
      <c r="J5100" s="5">
        <v>1112</v>
      </c>
    </row>
    <row r="5101" s="2" customFormat="1" ht="27" spans="1:10">
      <c r="A5101" s="6">
        <f>5099</f>
        <v>5099</v>
      </c>
      <c r="B5101" s="6" t="s">
        <v>13162</v>
      </c>
      <c r="C5101" s="6" t="s">
        <v>12</v>
      </c>
      <c r="D5101" s="6" t="s">
        <v>13005</v>
      </c>
      <c r="E5101" s="6" t="s">
        <v>13084</v>
      </c>
      <c r="F5101" s="6" t="s">
        <v>13163</v>
      </c>
      <c r="G5101" s="6" t="s">
        <v>16</v>
      </c>
      <c r="H5101" s="5">
        <v>4</v>
      </c>
      <c r="I5101" s="6" t="s">
        <v>13164</v>
      </c>
      <c r="J5101" s="5">
        <v>1272</v>
      </c>
    </row>
    <row r="5102" s="2" customFormat="1" spans="1:10">
      <c r="A5102" s="6">
        <f>5100</f>
        <v>5100</v>
      </c>
      <c r="B5102" s="6" t="s">
        <v>13165</v>
      </c>
      <c r="C5102" s="6" t="s">
        <v>12</v>
      </c>
      <c r="D5102" s="6" t="s">
        <v>13005</v>
      </c>
      <c r="E5102" s="6" t="s">
        <v>13084</v>
      </c>
      <c r="F5102" s="6" t="s">
        <v>13166</v>
      </c>
      <c r="G5102" s="6" t="s">
        <v>16</v>
      </c>
      <c r="H5102" s="5">
        <v>2</v>
      </c>
      <c r="I5102" s="6" t="s">
        <v>13167</v>
      </c>
      <c r="J5102" s="5">
        <v>744</v>
      </c>
    </row>
    <row r="5103" s="2" customFormat="1" spans="1:10">
      <c r="A5103" s="6">
        <f>5101</f>
        <v>5101</v>
      </c>
      <c r="B5103" s="6" t="s">
        <v>13168</v>
      </c>
      <c r="C5103" s="6" t="s">
        <v>12</v>
      </c>
      <c r="D5103" s="6" t="s">
        <v>13005</v>
      </c>
      <c r="E5103" s="6" t="s">
        <v>13084</v>
      </c>
      <c r="F5103" s="6" t="s">
        <v>13169</v>
      </c>
      <c r="G5103" s="6" t="s">
        <v>16</v>
      </c>
      <c r="H5103" s="5">
        <v>1</v>
      </c>
      <c r="I5103" s="6" t="s">
        <v>13169</v>
      </c>
      <c r="J5103" s="5">
        <v>285</v>
      </c>
    </row>
    <row r="5104" s="2" customFormat="1" ht="27" spans="1:10">
      <c r="A5104" s="6">
        <f>5102</f>
        <v>5102</v>
      </c>
      <c r="B5104" s="6" t="s">
        <v>13170</v>
      </c>
      <c r="C5104" s="6" t="s">
        <v>12</v>
      </c>
      <c r="D5104" s="6" t="s">
        <v>13005</v>
      </c>
      <c r="E5104" s="6" t="s">
        <v>13084</v>
      </c>
      <c r="F5104" s="6" t="s">
        <v>13171</v>
      </c>
      <c r="G5104" s="6" t="s">
        <v>16</v>
      </c>
      <c r="H5104" s="5">
        <v>5</v>
      </c>
      <c r="I5104" s="6" t="s">
        <v>13172</v>
      </c>
      <c r="J5104" s="5">
        <v>1468</v>
      </c>
    </row>
    <row r="5105" s="2" customFormat="1" spans="1:10">
      <c r="A5105" s="6">
        <f>5103</f>
        <v>5103</v>
      </c>
      <c r="B5105" s="6" t="s">
        <v>13173</v>
      </c>
      <c r="C5105" s="6" t="s">
        <v>12</v>
      </c>
      <c r="D5105" s="6" t="s">
        <v>13005</v>
      </c>
      <c r="E5105" s="6" t="s">
        <v>13084</v>
      </c>
      <c r="F5105" s="6" t="s">
        <v>13174</v>
      </c>
      <c r="G5105" s="6" t="s">
        <v>16</v>
      </c>
      <c r="H5105" s="5">
        <v>1</v>
      </c>
      <c r="I5105" s="6" t="s">
        <v>13174</v>
      </c>
      <c r="J5105" s="5">
        <v>308</v>
      </c>
    </row>
    <row r="5106" s="2" customFormat="1" ht="27" spans="1:10">
      <c r="A5106" s="6">
        <f>5104</f>
        <v>5104</v>
      </c>
      <c r="B5106" s="6" t="s">
        <v>13175</v>
      </c>
      <c r="C5106" s="6" t="s">
        <v>12</v>
      </c>
      <c r="D5106" s="6" t="s">
        <v>13005</v>
      </c>
      <c r="E5106" s="6" t="s">
        <v>13084</v>
      </c>
      <c r="F5106" s="6" t="s">
        <v>13176</v>
      </c>
      <c r="G5106" s="6" t="s">
        <v>16</v>
      </c>
      <c r="H5106" s="5">
        <v>4</v>
      </c>
      <c r="I5106" s="6" t="s">
        <v>13177</v>
      </c>
      <c r="J5106" s="5">
        <v>1050</v>
      </c>
    </row>
    <row r="5107" s="2" customFormat="1" spans="1:10">
      <c r="A5107" s="6">
        <f>5105</f>
        <v>5105</v>
      </c>
      <c r="B5107" s="6" t="s">
        <v>13178</v>
      </c>
      <c r="C5107" s="6" t="s">
        <v>12</v>
      </c>
      <c r="D5107" s="6" t="s">
        <v>13005</v>
      </c>
      <c r="E5107" s="6" t="s">
        <v>13084</v>
      </c>
      <c r="F5107" s="6" t="s">
        <v>13179</v>
      </c>
      <c r="G5107" s="6" t="s">
        <v>16</v>
      </c>
      <c r="H5107" s="5">
        <v>1</v>
      </c>
      <c r="I5107" s="6" t="s">
        <v>13179</v>
      </c>
      <c r="J5107" s="5">
        <v>350</v>
      </c>
    </row>
    <row r="5108" s="2" customFormat="1" ht="27" spans="1:10">
      <c r="A5108" s="6">
        <f>5106</f>
        <v>5106</v>
      </c>
      <c r="B5108" s="6" t="s">
        <v>13180</v>
      </c>
      <c r="C5108" s="6" t="s">
        <v>12</v>
      </c>
      <c r="D5108" s="6" t="s">
        <v>13005</v>
      </c>
      <c r="E5108" s="6" t="s">
        <v>13084</v>
      </c>
      <c r="F5108" s="6" t="s">
        <v>13181</v>
      </c>
      <c r="G5108" s="6" t="s">
        <v>16</v>
      </c>
      <c r="H5108" s="5">
        <v>5</v>
      </c>
      <c r="I5108" s="6" t="s">
        <v>13182</v>
      </c>
      <c r="J5108" s="5">
        <v>1198</v>
      </c>
    </row>
    <row r="5109" s="2" customFormat="1" spans="1:10">
      <c r="A5109" s="6">
        <f>5107</f>
        <v>5107</v>
      </c>
      <c r="B5109" s="6" t="s">
        <v>13183</v>
      </c>
      <c r="C5109" s="6" t="s">
        <v>12</v>
      </c>
      <c r="D5109" s="6" t="s">
        <v>13005</v>
      </c>
      <c r="E5109" s="6" t="s">
        <v>13084</v>
      </c>
      <c r="F5109" s="6" t="s">
        <v>13184</v>
      </c>
      <c r="G5109" s="6" t="s">
        <v>16</v>
      </c>
      <c r="H5109" s="5">
        <v>2</v>
      </c>
      <c r="I5109" s="6" t="s">
        <v>13185</v>
      </c>
      <c r="J5109" s="5">
        <v>532</v>
      </c>
    </row>
    <row r="5110" s="2" customFormat="1" spans="1:10">
      <c r="A5110" s="6">
        <f>5108</f>
        <v>5108</v>
      </c>
      <c r="B5110" s="6" t="s">
        <v>13186</v>
      </c>
      <c r="C5110" s="6" t="s">
        <v>12</v>
      </c>
      <c r="D5110" s="6" t="s">
        <v>13005</v>
      </c>
      <c r="E5110" s="6" t="s">
        <v>13084</v>
      </c>
      <c r="F5110" s="6" t="s">
        <v>13187</v>
      </c>
      <c r="G5110" s="6" t="s">
        <v>16</v>
      </c>
      <c r="H5110" s="5">
        <v>1</v>
      </c>
      <c r="I5110" s="6" t="s">
        <v>13187</v>
      </c>
      <c r="J5110" s="5">
        <v>395</v>
      </c>
    </row>
    <row r="5111" s="2" customFormat="1" spans="1:10">
      <c r="A5111" s="6">
        <f>5109</f>
        <v>5109</v>
      </c>
      <c r="B5111" s="6" t="s">
        <v>13188</v>
      </c>
      <c r="C5111" s="6" t="s">
        <v>12</v>
      </c>
      <c r="D5111" s="6" t="s">
        <v>13005</v>
      </c>
      <c r="E5111" s="6" t="s">
        <v>13084</v>
      </c>
      <c r="F5111" s="6" t="s">
        <v>13189</v>
      </c>
      <c r="G5111" s="6" t="s">
        <v>16</v>
      </c>
      <c r="H5111" s="5">
        <v>3</v>
      </c>
      <c r="I5111" s="6" t="s">
        <v>13190</v>
      </c>
      <c r="J5111" s="5">
        <v>1123</v>
      </c>
    </row>
    <row r="5112" s="2" customFormat="1" spans="1:10">
      <c r="A5112" s="6">
        <f>5110</f>
        <v>5110</v>
      </c>
      <c r="B5112" s="6" t="s">
        <v>13191</v>
      </c>
      <c r="C5112" s="6" t="s">
        <v>12</v>
      </c>
      <c r="D5112" s="6" t="s">
        <v>13005</v>
      </c>
      <c r="E5112" s="6" t="s">
        <v>13084</v>
      </c>
      <c r="F5112" s="6" t="s">
        <v>13192</v>
      </c>
      <c r="G5112" s="6" t="s">
        <v>16</v>
      </c>
      <c r="H5112" s="5">
        <v>2</v>
      </c>
      <c r="I5112" s="6" t="s">
        <v>13193</v>
      </c>
      <c r="J5112" s="5">
        <v>550</v>
      </c>
    </row>
    <row r="5113" s="2" customFormat="1" spans="1:10">
      <c r="A5113" s="6">
        <f>5111</f>
        <v>5111</v>
      </c>
      <c r="B5113" s="6" t="s">
        <v>13194</v>
      </c>
      <c r="C5113" s="6" t="s">
        <v>12</v>
      </c>
      <c r="D5113" s="6" t="s">
        <v>13005</v>
      </c>
      <c r="E5113" s="6" t="s">
        <v>13084</v>
      </c>
      <c r="F5113" s="6" t="s">
        <v>13195</v>
      </c>
      <c r="G5113" s="6" t="s">
        <v>16</v>
      </c>
      <c r="H5113" s="5">
        <v>1</v>
      </c>
      <c r="I5113" s="6" t="s">
        <v>13195</v>
      </c>
      <c r="J5113" s="5">
        <v>420</v>
      </c>
    </row>
    <row r="5114" s="2" customFormat="1" spans="1:10">
      <c r="A5114" s="6">
        <f>5112</f>
        <v>5112</v>
      </c>
      <c r="B5114" s="6" t="s">
        <v>13196</v>
      </c>
      <c r="C5114" s="6" t="s">
        <v>12</v>
      </c>
      <c r="D5114" s="6" t="s">
        <v>13005</v>
      </c>
      <c r="E5114" s="6" t="s">
        <v>13084</v>
      </c>
      <c r="F5114" s="6" t="s">
        <v>13197</v>
      </c>
      <c r="G5114" s="6" t="s">
        <v>16</v>
      </c>
      <c r="H5114" s="5">
        <v>1</v>
      </c>
      <c r="I5114" s="6" t="s">
        <v>13197</v>
      </c>
      <c r="J5114" s="5">
        <v>460</v>
      </c>
    </row>
    <row r="5115" s="2" customFormat="1" spans="1:10">
      <c r="A5115" s="6">
        <f>5113</f>
        <v>5113</v>
      </c>
      <c r="B5115" s="6" t="s">
        <v>13198</v>
      </c>
      <c r="C5115" s="6" t="s">
        <v>12</v>
      </c>
      <c r="D5115" s="6" t="s">
        <v>13005</v>
      </c>
      <c r="E5115" s="6" t="s">
        <v>13084</v>
      </c>
      <c r="F5115" s="6" t="s">
        <v>13199</v>
      </c>
      <c r="G5115" s="6" t="s">
        <v>16</v>
      </c>
      <c r="H5115" s="5">
        <v>1</v>
      </c>
      <c r="I5115" s="6" t="s">
        <v>13199</v>
      </c>
      <c r="J5115" s="5">
        <v>420</v>
      </c>
    </row>
    <row r="5116" s="2" customFormat="1" spans="1:10">
      <c r="A5116" s="6">
        <f>5114</f>
        <v>5114</v>
      </c>
      <c r="B5116" s="6" t="s">
        <v>13200</v>
      </c>
      <c r="C5116" s="6" t="s">
        <v>12</v>
      </c>
      <c r="D5116" s="6" t="s">
        <v>13005</v>
      </c>
      <c r="E5116" s="6" t="s">
        <v>13084</v>
      </c>
      <c r="F5116" s="6" t="s">
        <v>13201</v>
      </c>
      <c r="G5116" s="6" t="s">
        <v>16</v>
      </c>
      <c r="H5116" s="5">
        <v>3</v>
      </c>
      <c r="I5116" s="6" t="s">
        <v>13202</v>
      </c>
      <c r="J5116" s="5">
        <v>731</v>
      </c>
    </row>
    <row r="5117" s="2" customFormat="1" ht="27" spans="1:10">
      <c r="A5117" s="6">
        <f>5115</f>
        <v>5115</v>
      </c>
      <c r="B5117" s="6" t="s">
        <v>13203</v>
      </c>
      <c r="C5117" s="6" t="s">
        <v>12</v>
      </c>
      <c r="D5117" s="6" t="s">
        <v>13005</v>
      </c>
      <c r="E5117" s="6" t="s">
        <v>13084</v>
      </c>
      <c r="F5117" s="6" t="s">
        <v>13204</v>
      </c>
      <c r="G5117" s="6" t="s">
        <v>16</v>
      </c>
      <c r="H5117" s="5">
        <v>4</v>
      </c>
      <c r="I5117" s="6" t="s">
        <v>13205</v>
      </c>
      <c r="J5117" s="5">
        <v>1172</v>
      </c>
    </row>
    <row r="5118" s="2" customFormat="1" ht="27" spans="1:10">
      <c r="A5118" s="6">
        <f>5116</f>
        <v>5116</v>
      </c>
      <c r="B5118" s="6" t="s">
        <v>13206</v>
      </c>
      <c r="C5118" s="6" t="s">
        <v>12</v>
      </c>
      <c r="D5118" s="6" t="s">
        <v>13005</v>
      </c>
      <c r="E5118" s="6" t="s">
        <v>13084</v>
      </c>
      <c r="F5118" s="6" t="s">
        <v>13207</v>
      </c>
      <c r="G5118" s="6" t="s">
        <v>16</v>
      </c>
      <c r="H5118" s="5">
        <v>5</v>
      </c>
      <c r="I5118" s="6" t="s">
        <v>13208</v>
      </c>
      <c r="J5118" s="5">
        <v>1255</v>
      </c>
    </row>
    <row r="5119" s="2" customFormat="1" spans="1:10">
      <c r="A5119" s="6">
        <f>5117</f>
        <v>5117</v>
      </c>
      <c r="B5119" s="6" t="s">
        <v>13209</v>
      </c>
      <c r="C5119" s="6" t="s">
        <v>12</v>
      </c>
      <c r="D5119" s="6" t="s">
        <v>13005</v>
      </c>
      <c r="E5119" s="6" t="s">
        <v>13084</v>
      </c>
      <c r="F5119" s="6" t="s">
        <v>13210</v>
      </c>
      <c r="G5119" s="6" t="s">
        <v>16</v>
      </c>
      <c r="H5119" s="5">
        <v>1</v>
      </c>
      <c r="I5119" s="6" t="s">
        <v>13210</v>
      </c>
      <c r="J5119" s="5">
        <v>380</v>
      </c>
    </row>
    <row r="5120" s="2" customFormat="1" spans="1:10">
      <c r="A5120" s="6">
        <f>5118</f>
        <v>5118</v>
      </c>
      <c r="B5120" s="6" t="s">
        <v>13211</v>
      </c>
      <c r="C5120" s="6" t="s">
        <v>12</v>
      </c>
      <c r="D5120" s="6" t="s">
        <v>13005</v>
      </c>
      <c r="E5120" s="6" t="s">
        <v>13084</v>
      </c>
      <c r="F5120" s="6" t="s">
        <v>13212</v>
      </c>
      <c r="G5120" s="6" t="s">
        <v>16</v>
      </c>
      <c r="H5120" s="5">
        <v>2</v>
      </c>
      <c r="I5120" s="6" t="s">
        <v>13213</v>
      </c>
      <c r="J5120" s="5">
        <v>506</v>
      </c>
    </row>
    <row r="5121" s="2" customFormat="1" spans="1:10">
      <c r="A5121" s="6">
        <f>5119</f>
        <v>5119</v>
      </c>
      <c r="B5121" s="6" t="s">
        <v>13214</v>
      </c>
      <c r="C5121" s="6" t="s">
        <v>12</v>
      </c>
      <c r="D5121" s="6" t="s">
        <v>13005</v>
      </c>
      <c r="E5121" s="6" t="s">
        <v>13084</v>
      </c>
      <c r="F5121" s="6" t="s">
        <v>13215</v>
      </c>
      <c r="G5121" s="6" t="s">
        <v>16</v>
      </c>
      <c r="H5121" s="5">
        <v>1</v>
      </c>
      <c r="I5121" s="6" t="s">
        <v>13215</v>
      </c>
      <c r="J5121" s="5">
        <v>270</v>
      </c>
    </row>
    <row r="5122" s="2" customFormat="1" spans="1:10">
      <c r="A5122" s="6">
        <f>5120</f>
        <v>5120</v>
      </c>
      <c r="B5122" s="6" t="s">
        <v>13216</v>
      </c>
      <c r="C5122" s="6" t="s">
        <v>12</v>
      </c>
      <c r="D5122" s="6" t="s">
        <v>13005</v>
      </c>
      <c r="E5122" s="6" t="s">
        <v>13084</v>
      </c>
      <c r="F5122" s="6" t="s">
        <v>13217</v>
      </c>
      <c r="G5122" s="6" t="s">
        <v>16</v>
      </c>
      <c r="H5122" s="5">
        <v>3</v>
      </c>
      <c r="I5122" s="6" t="s">
        <v>13218</v>
      </c>
      <c r="J5122" s="5">
        <v>825</v>
      </c>
    </row>
    <row r="5123" s="2" customFormat="1" spans="1:10">
      <c r="A5123" s="6">
        <f>5121</f>
        <v>5121</v>
      </c>
      <c r="B5123" s="6" t="s">
        <v>13219</v>
      </c>
      <c r="C5123" s="6" t="s">
        <v>12</v>
      </c>
      <c r="D5123" s="6" t="s">
        <v>13005</v>
      </c>
      <c r="E5123" s="6" t="s">
        <v>13084</v>
      </c>
      <c r="F5123" s="6" t="s">
        <v>13220</v>
      </c>
      <c r="G5123" s="6" t="s">
        <v>16</v>
      </c>
      <c r="H5123" s="5">
        <v>1</v>
      </c>
      <c r="I5123" s="6" t="s">
        <v>13220</v>
      </c>
      <c r="J5123" s="5">
        <v>280</v>
      </c>
    </row>
    <row r="5124" s="2" customFormat="1" ht="27" spans="1:10">
      <c r="A5124" s="6">
        <f>5122</f>
        <v>5122</v>
      </c>
      <c r="B5124" s="6" t="s">
        <v>13221</v>
      </c>
      <c r="C5124" s="6" t="s">
        <v>12</v>
      </c>
      <c r="D5124" s="6" t="s">
        <v>13005</v>
      </c>
      <c r="E5124" s="6" t="s">
        <v>13084</v>
      </c>
      <c r="F5124" s="6" t="s">
        <v>13222</v>
      </c>
      <c r="G5124" s="6" t="s">
        <v>16</v>
      </c>
      <c r="H5124" s="5">
        <v>4</v>
      </c>
      <c r="I5124" s="6" t="s">
        <v>13223</v>
      </c>
      <c r="J5124" s="5">
        <v>1225</v>
      </c>
    </row>
    <row r="5125" s="2" customFormat="1" spans="1:10">
      <c r="A5125" s="6">
        <f>5123</f>
        <v>5123</v>
      </c>
      <c r="B5125" s="6" t="s">
        <v>13224</v>
      </c>
      <c r="C5125" s="6" t="s">
        <v>12</v>
      </c>
      <c r="D5125" s="6" t="s">
        <v>13005</v>
      </c>
      <c r="E5125" s="6" t="s">
        <v>13084</v>
      </c>
      <c r="F5125" s="6" t="s">
        <v>13225</v>
      </c>
      <c r="G5125" s="6" t="s">
        <v>16</v>
      </c>
      <c r="H5125" s="5">
        <v>1</v>
      </c>
      <c r="I5125" s="6" t="s">
        <v>13225</v>
      </c>
      <c r="J5125" s="5">
        <v>570</v>
      </c>
    </row>
    <row r="5126" s="2" customFormat="1" spans="1:10">
      <c r="A5126" s="6">
        <f>5124</f>
        <v>5124</v>
      </c>
      <c r="B5126" s="6" t="s">
        <v>13226</v>
      </c>
      <c r="C5126" s="6" t="s">
        <v>12</v>
      </c>
      <c r="D5126" s="6" t="s">
        <v>13005</v>
      </c>
      <c r="E5126" s="6" t="s">
        <v>13084</v>
      </c>
      <c r="F5126" s="6" t="s">
        <v>13227</v>
      </c>
      <c r="G5126" s="6" t="s">
        <v>16</v>
      </c>
      <c r="H5126" s="5">
        <v>3</v>
      </c>
      <c r="I5126" s="6" t="s">
        <v>13228</v>
      </c>
      <c r="J5126" s="5">
        <v>1440</v>
      </c>
    </row>
    <row r="5127" s="2" customFormat="1" spans="1:10">
      <c r="A5127" s="6">
        <f>5125</f>
        <v>5125</v>
      </c>
      <c r="B5127" s="6" t="s">
        <v>13229</v>
      </c>
      <c r="C5127" s="6" t="s">
        <v>12</v>
      </c>
      <c r="D5127" s="6" t="s">
        <v>13005</v>
      </c>
      <c r="E5127" s="6" t="s">
        <v>13084</v>
      </c>
      <c r="F5127" s="6" t="s">
        <v>13230</v>
      </c>
      <c r="G5127" s="6" t="s">
        <v>16</v>
      </c>
      <c r="H5127" s="5">
        <v>1</v>
      </c>
      <c r="I5127" s="6" t="s">
        <v>13230</v>
      </c>
      <c r="J5127" s="5">
        <v>281</v>
      </c>
    </row>
    <row r="5128" s="2" customFormat="1" spans="1:10">
      <c r="A5128" s="6">
        <f>5126</f>
        <v>5126</v>
      </c>
      <c r="B5128" s="6" t="s">
        <v>13231</v>
      </c>
      <c r="C5128" s="6" t="s">
        <v>12</v>
      </c>
      <c r="D5128" s="6" t="s">
        <v>13005</v>
      </c>
      <c r="E5128" s="6" t="s">
        <v>13084</v>
      </c>
      <c r="F5128" s="6" t="s">
        <v>13232</v>
      </c>
      <c r="G5128" s="6" t="s">
        <v>16</v>
      </c>
      <c r="H5128" s="5">
        <v>1</v>
      </c>
      <c r="I5128" s="6" t="s">
        <v>13232</v>
      </c>
      <c r="J5128" s="5">
        <v>280</v>
      </c>
    </row>
    <row r="5129" s="2" customFormat="1" ht="27" spans="1:10">
      <c r="A5129" s="6">
        <f>5127</f>
        <v>5127</v>
      </c>
      <c r="B5129" s="6" t="s">
        <v>13233</v>
      </c>
      <c r="C5129" s="6" t="s">
        <v>12</v>
      </c>
      <c r="D5129" s="6" t="s">
        <v>13005</v>
      </c>
      <c r="E5129" s="6" t="s">
        <v>13084</v>
      </c>
      <c r="F5129" s="6" t="s">
        <v>13234</v>
      </c>
      <c r="G5129" s="6" t="s">
        <v>16</v>
      </c>
      <c r="H5129" s="5">
        <v>5</v>
      </c>
      <c r="I5129" s="6" t="s">
        <v>13235</v>
      </c>
      <c r="J5129" s="5">
        <v>1190</v>
      </c>
    </row>
    <row r="5130" s="2" customFormat="1" spans="1:10">
      <c r="A5130" s="6">
        <f>5128</f>
        <v>5128</v>
      </c>
      <c r="B5130" s="6" t="s">
        <v>13236</v>
      </c>
      <c r="C5130" s="6" t="s">
        <v>12</v>
      </c>
      <c r="D5130" s="6" t="s">
        <v>13005</v>
      </c>
      <c r="E5130" s="6" t="s">
        <v>13084</v>
      </c>
      <c r="F5130" s="6" t="s">
        <v>13237</v>
      </c>
      <c r="G5130" s="6" t="s">
        <v>16</v>
      </c>
      <c r="H5130" s="5">
        <v>1</v>
      </c>
      <c r="I5130" s="6" t="s">
        <v>13237</v>
      </c>
      <c r="J5130" s="5">
        <v>293</v>
      </c>
    </row>
    <row r="5131" s="2" customFormat="1" ht="27" spans="1:10">
      <c r="A5131" s="6">
        <f>5129</f>
        <v>5129</v>
      </c>
      <c r="B5131" s="6" t="s">
        <v>13238</v>
      </c>
      <c r="C5131" s="6" t="s">
        <v>12</v>
      </c>
      <c r="D5131" s="6" t="s">
        <v>13005</v>
      </c>
      <c r="E5131" s="6" t="s">
        <v>13084</v>
      </c>
      <c r="F5131" s="6" t="s">
        <v>13239</v>
      </c>
      <c r="G5131" s="6" t="s">
        <v>16</v>
      </c>
      <c r="H5131" s="5">
        <v>4</v>
      </c>
      <c r="I5131" s="6" t="s">
        <v>13240</v>
      </c>
      <c r="J5131" s="5">
        <v>1100</v>
      </c>
    </row>
    <row r="5132" s="2" customFormat="1" spans="1:10">
      <c r="A5132" s="6">
        <f>5130</f>
        <v>5130</v>
      </c>
      <c r="B5132" s="6" t="s">
        <v>13241</v>
      </c>
      <c r="C5132" s="6" t="s">
        <v>12</v>
      </c>
      <c r="D5132" s="6" t="s">
        <v>13005</v>
      </c>
      <c r="E5132" s="6" t="s">
        <v>13084</v>
      </c>
      <c r="F5132" s="6" t="s">
        <v>13242</v>
      </c>
      <c r="G5132" s="6" t="s">
        <v>16</v>
      </c>
      <c r="H5132" s="5">
        <v>1</v>
      </c>
      <c r="I5132" s="6" t="s">
        <v>13242</v>
      </c>
      <c r="J5132" s="5">
        <v>275</v>
      </c>
    </row>
    <row r="5133" s="2" customFormat="1" spans="1:10">
      <c r="A5133" s="6">
        <f>5131</f>
        <v>5131</v>
      </c>
      <c r="B5133" s="6" t="s">
        <v>13243</v>
      </c>
      <c r="C5133" s="6" t="s">
        <v>12</v>
      </c>
      <c r="D5133" s="6" t="s">
        <v>13005</v>
      </c>
      <c r="E5133" s="6" t="s">
        <v>13084</v>
      </c>
      <c r="F5133" s="6" t="s">
        <v>13244</v>
      </c>
      <c r="G5133" s="6" t="s">
        <v>16</v>
      </c>
      <c r="H5133" s="5">
        <v>2</v>
      </c>
      <c r="I5133" s="6" t="s">
        <v>13245</v>
      </c>
      <c r="J5133" s="5">
        <v>574</v>
      </c>
    </row>
    <row r="5134" s="2" customFormat="1" spans="1:10">
      <c r="A5134" s="6">
        <f>5132</f>
        <v>5132</v>
      </c>
      <c r="B5134" s="6" t="s">
        <v>13246</v>
      </c>
      <c r="C5134" s="6" t="s">
        <v>12</v>
      </c>
      <c r="D5134" s="6" t="s">
        <v>13005</v>
      </c>
      <c r="E5134" s="6" t="s">
        <v>13084</v>
      </c>
      <c r="F5134" s="6" t="s">
        <v>13247</v>
      </c>
      <c r="G5134" s="6" t="s">
        <v>16</v>
      </c>
      <c r="H5134" s="5">
        <v>1</v>
      </c>
      <c r="I5134" s="6" t="s">
        <v>13247</v>
      </c>
      <c r="J5134" s="5">
        <v>360</v>
      </c>
    </row>
    <row r="5135" s="2" customFormat="1" spans="1:10">
      <c r="A5135" s="6">
        <f>5133</f>
        <v>5133</v>
      </c>
      <c r="B5135" s="6" t="s">
        <v>13248</v>
      </c>
      <c r="C5135" s="6" t="s">
        <v>12</v>
      </c>
      <c r="D5135" s="6" t="s">
        <v>13005</v>
      </c>
      <c r="E5135" s="6" t="s">
        <v>13084</v>
      </c>
      <c r="F5135" s="6" t="s">
        <v>13249</v>
      </c>
      <c r="G5135" s="6" t="s">
        <v>16</v>
      </c>
      <c r="H5135" s="5">
        <v>2</v>
      </c>
      <c r="I5135" s="6" t="s">
        <v>13250</v>
      </c>
      <c r="J5135" s="5">
        <v>720</v>
      </c>
    </row>
    <row r="5136" s="2" customFormat="1" spans="1:10">
      <c r="A5136" s="6">
        <f>5134</f>
        <v>5134</v>
      </c>
      <c r="B5136" s="6" t="s">
        <v>13251</v>
      </c>
      <c r="C5136" s="6" t="s">
        <v>12</v>
      </c>
      <c r="D5136" s="6" t="s">
        <v>13005</v>
      </c>
      <c r="E5136" s="6" t="s">
        <v>13084</v>
      </c>
      <c r="F5136" s="6" t="s">
        <v>13252</v>
      </c>
      <c r="G5136" s="6" t="s">
        <v>16</v>
      </c>
      <c r="H5136" s="5">
        <v>3</v>
      </c>
      <c r="I5136" s="6" t="s">
        <v>13253</v>
      </c>
      <c r="J5136" s="5">
        <v>780</v>
      </c>
    </row>
    <row r="5137" s="2" customFormat="1" spans="1:10">
      <c r="A5137" s="6">
        <f>5135</f>
        <v>5135</v>
      </c>
      <c r="B5137" s="6" t="s">
        <v>13254</v>
      </c>
      <c r="C5137" s="6" t="s">
        <v>12</v>
      </c>
      <c r="D5137" s="6" t="s">
        <v>13005</v>
      </c>
      <c r="E5137" s="6" t="s">
        <v>13084</v>
      </c>
      <c r="F5137" s="6" t="s">
        <v>13255</v>
      </c>
      <c r="G5137" s="6" t="s">
        <v>16</v>
      </c>
      <c r="H5137" s="5">
        <v>2</v>
      </c>
      <c r="I5137" s="6" t="s">
        <v>13256</v>
      </c>
      <c r="J5137" s="5">
        <v>580</v>
      </c>
    </row>
    <row r="5138" s="2" customFormat="1" spans="1:10">
      <c r="A5138" s="6">
        <f>5136</f>
        <v>5136</v>
      </c>
      <c r="B5138" s="6" t="s">
        <v>13257</v>
      </c>
      <c r="C5138" s="6" t="s">
        <v>12</v>
      </c>
      <c r="D5138" s="6" t="s">
        <v>13005</v>
      </c>
      <c r="E5138" s="6" t="s">
        <v>13084</v>
      </c>
      <c r="F5138" s="6" t="s">
        <v>13258</v>
      </c>
      <c r="G5138" s="6" t="s">
        <v>16</v>
      </c>
      <c r="H5138" s="5">
        <v>1</v>
      </c>
      <c r="I5138" s="6" t="s">
        <v>13258</v>
      </c>
      <c r="J5138" s="5">
        <v>610</v>
      </c>
    </row>
    <row r="5139" s="2" customFormat="1" spans="1:10">
      <c r="A5139" s="6">
        <f>5137</f>
        <v>5137</v>
      </c>
      <c r="B5139" s="6" t="s">
        <v>13259</v>
      </c>
      <c r="C5139" s="6" t="s">
        <v>12</v>
      </c>
      <c r="D5139" s="6" t="s">
        <v>13005</v>
      </c>
      <c r="E5139" s="6" t="s">
        <v>13084</v>
      </c>
      <c r="F5139" s="6" t="s">
        <v>13260</v>
      </c>
      <c r="G5139" s="6" t="s">
        <v>16</v>
      </c>
      <c r="H5139" s="5">
        <v>2</v>
      </c>
      <c r="I5139" s="6" t="s">
        <v>13261</v>
      </c>
      <c r="J5139" s="5">
        <v>520</v>
      </c>
    </row>
    <row r="5140" s="2" customFormat="1" spans="1:10">
      <c r="A5140" s="6">
        <f>5138</f>
        <v>5138</v>
      </c>
      <c r="B5140" s="6" t="s">
        <v>13262</v>
      </c>
      <c r="C5140" s="6" t="s">
        <v>12</v>
      </c>
      <c r="D5140" s="6" t="s">
        <v>13005</v>
      </c>
      <c r="E5140" s="6" t="s">
        <v>13084</v>
      </c>
      <c r="F5140" s="6" t="s">
        <v>9831</v>
      </c>
      <c r="G5140" s="6" t="s">
        <v>16</v>
      </c>
      <c r="H5140" s="5">
        <v>1</v>
      </c>
      <c r="I5140" s="6" t="s">
        <v>9831</v>
      </c>
      <c r="J5140" s="5">
        <v>289</v>
      </c>
    </row>
    <row r="5141" s="2" customFormat="1" spans="1:10">
      <c r="A5141" s="6">
        <f>5139</f>
        <v>5139</v>
      </c>
      <c r="B5141" s="6" t="s">
        <v>13263</v>
      </c>
      <c r="C5141" s="6" t="s">
        <v>12</v>
      </c>
      <c r="D5141" s="6" t="s">
        <v>13005</v>
      </c>
      <c r="E5141" s="6" t="s">
        <v>13084</v>
      </c>
      <c r="F5141" s="6" t="s">
        <v>13264</v>
      </c>
      <c r="G5141" s="6" t="s">
        <v>16</v>
      </c>
      <c r="H5141" s="5">
        <v>1</v>
      </c>
      <c r="I5141" s="6" t="s">
        <v>13264</v>
      </c>
      <c r="J5141" s="5">
        <v>290</v>
      </c>
    </row>
    <row r="5142" s="2" customFormat="1" spans="1:10">
      <c r="A5142" s="6">
        <f>5140</f>
        <v>5140</v>
      </c>
      <c r="B5142" s="6" t="s">
        <v>13265</v>
      </c>
      <c r="C5142" s="6" t="s">
        <v>12</v>
      </c>
      <c r="D5142" s="6" t="s">
        <v>13005</v>
      </c>
      <c r="E5142" s="6" t="s">
        <v>13084</v>
      </c>
      <c r="F5142" s="6" t="s">
        <v>13266</v>
      </c>
      <c r="G5142" s="6" t="s">
        <v>16</v>
      </c>
      <c r="H5142" s="5">
        <v>3</v>
      </c>
      <c r="I5142" s="6" t="s">
        <v>13267</v>
      </c>
      <c r="J5142" s="5">
        <v>700</v>
      </c>
    </row>
    <row r="5143" s="2" customFormat="1" ht="40.5" spans="1:10">
      <c r="A5143" s="6">
        <f>5141</f>
        <v>5141</v>
      </c>
      <c r="B5143" s="6" t="s">
        <v>13268</v>
      </c>
      <c r="C5143" s="6" t="s">
        <v>12</v>
      </c>
      <c r="D5143" s="6" t="s">
        <v>13005</v>
      </c>
      <c r="E5143" s="6" t="s">
        <v>13084</v>
      </c>
      <c r="F5143" s="6" t="s">
        <v>13269</v>
      </c>
      <c r="G5143" s="6" t="s">
        <v>16</v>
      </c>
      <c r="H5143" s="5">
        <v>6</v>
      </c>
      <c r="I5143" s="6" t="s">
        <v>13270</v>
      </c>
      <c r="J5143" s="5">
        <v>1358</v>
      </c>
    </row>
    <row r="5144" s="2" customFormat="1" spans="1:10">
      <c r="A5144" s="6">
        <f>5142</f>
        <v>5142</v>
      </c>
      <c r="B5144" s="6" t="s">
        <v>13271</v>
      </c>
      <c r="C5144" s="6" t="s">
        <v>12</v>
      </c>
      <c r="D5144" s="6" t="s">
        <v>13005</v>
      </c>
      <c r="E5144" s="6" t="s">
        <v>13084</v>
      </c>
      <c r="F5144" s="6" t="s">
        <v>13272</v>
      </c>
      <c r="G5144" s="6" t="s">
        <v>16</v>
      </c>
      <c r="H5144" s="5">
        <v>2</v>
      </c>
      <c r="I5144" s="6" t="s">
        <v>13273</v>
      </c>
      <c r="J5144" s="5">
        <v>620</v>
      </c>
    </row>
    <row r="5145" s="2" customFormat="1" spans="1:10">
      <c r="A5145" s="6">
        <f>5143</f>
        <v>5143</v>
      </c>
      <c r="B5145" s="6" t="s">
        <v>13274</v>
      </c>
      <c r="C5145" s="6" t="s">
        <v>12</v>
      </c>
      <c r="D5145" s="6" t="s">
        <v>13005</v>
      </c>
      <c r="E5145" s="6" t="s">
        <v>13084</v>
      </c>
      <c r="F5145" s="6" t="s">
        <v>13275</v>
      </c>
      <c r="G5145" s="6" t="s">
        <v>16</v>
      </c>
      <c r="H5145" s="5">
        <v>3</v>
      </c>
      <c r="I5145" s="6" t="s">
        <v>13276</v>
      </c>
      <c r="J5145" s="5">
        <v>1079</v>
      </c>
    </row>
    <row r="5146" s="2" customFormat="1" spans="1:10">
      <c r="A5146" s="6">
        <f>5144</f>
        <v>5144</v>
      </c>
      <c r="B5146" s="6" t="s">
        <v>13277</v>
      </c>
      <c r="C5146" s="6" t="s">
        <v>12</v>
      </c>
      <c r="D5146" s="6" t="s">
        <v>13005</v>
      </c>
      <c r="E5146" s="6" t="s">
        <v>13084</v>
      </c>
      <c r="F5146" s="6" t="s">
        <v>13278</v>
      </c>
      <c r="G5146" s="6" t="s">
        <v>16</v>
      </c>
      <c r="H5146" s="5">
        <v>2</v>
      </c>
      <c r="I5146" s="6" t="s">
        <v>13279</v>
      </c>
      <c r="J5146" s="5">
        <v>800</v>
      </c>
    </row>
    <row r="5147" s="2" customFormat="1" spans="1:10">
      <c r="A5147" s="6">
        <f>5145</f>
        <v>5145</v>
      </c>
      <c r="B5147" s="6" t="s">
        <v>13280</v>
      </c>
      <c r="C5147" s="6" t="s">
        <v>12</v>
      </c>
      <c r="D5147" s="6" t="s">
        <v>13005</v>
      </c>
      <c r="E5147" s="6" t="s">
        <v>13084</v>
      </c>
      <c r="F5147" s="6" t="s">
        <v>9047</v>
      </c>
      <c r="G5147" s="6" t="s">
        <v>16</v>
      </c>
      <c r="H5147" s="5">
        <v>1</v>
      </c>
      <c r="I5147" s="6" t="s">
        <v>9047</v>
      </c>
      <c r="J5147" s="5">
        <v>510</v>
      </c>
    </row>
    <row r="5148" s="2" customFormat="1" spans="1:10">
      <c r="A5148" s="6">
        <f>5146</f>
        <v>5146</v>
      </c>
      <c r="B5148" s="6" t="s">
        <v>13281</v>
      </c>
      <c r="C5148" s="6" t="s">
        <v>12</v>
      </c>
      <c r="D5148" s="6" t="s">
        <v>13005</v>
      </c>
      <c r="E5148" s="6" t="s">
        <v>13084</v>
      </c>
      <c r="F5148" s="6" t="s">
        <v>6442</v>
      </c>
      <c r="G5148" s="6" t="s">
        <v>16</v>
      </c>
      <c r="H5148" s="5">
        <v>3</v>
      </c>
      <c r="I5148" s="6" t="s">
        <v>13282</v>
      </c>
      <c r="J5148" s="5">
        <v>896</v>
      </c>
    </row>
    <row r="5149" s="2" customFormat="1" spans="1:10">
      <c r="A5149" s="6">
        <f>5147</f>
        <v>5147</v>
      </c>
      <c r="B5149" s="6" t="s">
        <v>13283</v>
      </c>
      <c r="C5149" s="6" t="s">
        <v>12</v>
      </c>
      <c r="D5149" s="6" t="s">
        <v>13005</v>
      </c>
      <c r="E5149" s="6" t="s">
        <v>13284</v>
      </c>
      <c r="F5149" s="6" t="s">
        <v>13285</v>
      </c>
      <c r="G5149" s="6" t="s">
        <v>16</v>
      </c>
      <c r="H5149" s="5">
        <v>1</v>
      </c>
      <c r="I5149" s="6" t="s">
        <v>13285</v>
      </c>
      <c r="J5149" s="5">
        <v>620</v>
      </c>
    </row>
    <row r="5150" s="2" customFormat="1" spans="1:10">
      <c r="A5150" s="6">
        <f>5148</f>
        <v>5148</v>
      </c>
      <c r="B5150" s="6" t="s">
        <v>13286</v>
      </c>
      <c r="C5150" s="6" t="s">
        <v>12</v>
      </c>
      <c r="D5150" s="6" t="s">
        <v>13005</v>
      </c>
      <c r="E5150" s="6" t="s">
        <v>13284</v>
      </c>
      <c r="F5150" s="6" t="s">
        <v>13287</v>
      </c>
      <c r="G5150" s="6" t="s">
        <v>16</v>
      </c>
      <c r="H5150" s="5">
        <v>1</v>
      </c>
      <c r="I5150" s="6" t="s">
        <v>13287</v>
      </c>
      <c r="J5150" s="5">
        <v>500</v>
      </c>
    </row>
    <row r="5151" s="2" customFormat="1" spans="1:10">
      <c r="A5151" s="6">
        <f>5149</f>
        <v>5149</v>
      </c>
      <c r="B5151" s="6" t="s">
        <v>13288</v>
      </c>
      <c r="C5151" s="6" t="s">
        <v>12</v>
      </c>
      <c r="D5151" s="6" t="s">
        <v>13005</v>
      </c>
      <c r="E5151" s="6" t="s">
        <v>13284</v>
      </c>
      <c r="F5151" s="6" t="s">
        <v>13289</v>
      </c>
      <c r="G5151" s="6" t="s">
        <v>16</v>
      </c>
      <c r="H5151" s="5">
        <v>1</v>
      </c>
      <c r="I5151" s="6" t="s">
        <v>13289</v>
      </c>
      <c r="J5151" s="5">
        <v>380</v>
      </c>
    </row>
    <row r="5152" s="2" customFormat="1" spans="1:10">
      <c r="A5152" s="6">
        <f>5150</f>
        <v>5150</v>
      </c>
      <c r="B5152" s="6" t="s">
        <v>13290</v>
      </c>
      <c r="C5152" s="6" t="s">
        <v>12</v>
      </c>
      <c r="D5152" s="6" t="s">
        <v>13005</v>
      </c>
      <c r="E5152" s="6" t="s">
        <v>13284</v>
      </c>
      <c r="F5152" s="6" t="s">
        <v>13291</v>
      </c>
      <c r="G5152" s="6" t="s">
        <v>16</v>
      </c>
      <c r="H5152" s="5">
        <v>2</v>
      </c>
      <c r="I5152" s="6" t="s">
        <v>13292</v>
      </c>
      <c r="J5152" s="5">
        <v>986</v>
      </c>
    </row>
    <row r="5153" s="2" customFormat="1" ht="27" spans="1:10">
      <c r="A5153" s="6">
        <f>5151</f>
        <v>5151</v>
      </c>
      <c r="B5153" s="6" t="s">
        <v>13293</v>
      </c>
      <c r="C5153" s="6" t="s">
        <v>12</v>
      </c>
      <c r="D5153" s="6" t="s">
        <v>13005</v>
      </c>
      <c r="E5153" s="6" t="s">
        <v>13284</v>
      </c>
      <c r="F5153" s="6" t="s">
        <v>13294</v>
      </c>
      <c r="G5153" s="6" t="s">
        <v>16</v>
      </c>
      <c r="H5153" s="5">
        <v>5</v>
      </c>
      <c r="I5153" s="6" t="s">
        <v>13295</v>
      </c>
      <c r="J5153" s="5">
        <v>1300</v>
      </c>
    </row>
    <row r="5154" s="2" customFormat="1" spans="1:10">
      <c r="A5154" s="6">
        <f>5152</f>
        <v>5152</v>
      </c>
      <c r="B5154" s="6" t="s">
        <v>13296</v>
      </c>
      <c r="C5154" s="6" t="s">
        <v>12</v>
      </c>
      <c r="D5154" s="6" t="s">
        <v>13005</v>
      </c>
      <c r="E5154" s="6" t="s">
        <v>13284</v>
      </c>
      <c r="F5154" s="6" t="s">
        <v>13297</v>
      </c>
      <c r="G5154" s="6" t="s">
        <v>16</v>
      </c>
      <c r="H5154" s="5">
        <v>1</v>
      </c>
      <c r="I5154" s="6" t="s">
        <v>13297</v>
      </c>
      <c r="J5154" s="5">
        <v>293</v>
      </c>
    </row>
    <row r="5155" s="2" customFormat="1" spans="1:10">
      <c r="A5155" s="6">
        <f>5153</f>
        <v>5153</v>
      </c>
      <c r="B5155" s="6" t="s">
        <v>13298</v>
      </c>
      <c r="C5155" s="6" t="s">
        <v>12</v>
      </c>
      <c r="D5155" s="6" t="s">
        <v>13005</v>
      </c>
      <c r="E5155" s="6" t="s">
        <v>13284</v>
      </c>
      <c r="F5155" s="6" t="s">
        <v>13299</v>
      </c>
      <c r="G5155" s="6" t="s">
        <v>16</v>
      </c>
      <c r="H5155" s="5">
        <v>1</v>
      </c>
      <c r="I5155" s="6" t="s">
        <v>13299</v>
      </c>
      <c r="J5155" s="5">
        <v>260</v>
      </c>
    </row>
    <row r="5156" s="2" customFormat="1" spans="1:10">
      <c r="A5156" s="6">
        <f>5154</f>
        <v>5154</v>
      </c>
      <c r="B5156" s="6" t="s">
        <v>13300</v>
      </c>
      <c r="C5156" s="6" t="s">
        <v>12</v>
      </c>
      <c r="D5156" s="6" t="s">
        <v>13005</v>
      </c>
      <c r="E5156" s="6" t="s">
        <v>13284</v>
      </c>
      <c r="F5156" s="6" t="s">
        <v>1449</v>
      </c>
      <c r="G5156" s="6" t="s">
        <v>16</v>
      </c>
      <c r="H5156" s="5">
        <v>1</v>
      </c>
      <c r="I5156" s="6" t="s">
        <v>1449</v>
      </c>
      <c r="J5156" s="5">
        <v>293</v>
      </c>
    </row>
    <row r="5157" s="2" customFormat="1" spans="1:10">
      <c r="A5157" s="6">
        <f>5155</f>
        <v>5155</v>
      </c>
      <c r="B5157" s="6" t="s">
        <v>13301</v>
      </c>
      <c r="C5157" s="6" t="s">
        <v>12</v>
      </c>
      <c r="D5157" s="6" t="s">
        <v>13005</v>
      </c>
      <c r="E5157" s="6" t="s">
        <v>13284</v>
      </c>
      <c r="F5157" s="6" t="s">
        <v>13302</v>
      </c>
      <c r="G5157" s="6" t="s">
        <v>16</v>
      </c>
      <c r="H5157" s="5">
        <v>3</v>
      </c>
      <c r="I5157" s="6" t="s">
        <v>13303</v>
      </c>
      <c r="J5157" s="5">
        <v>780</v>
      </c>
    </row>
    <row r="5158" s="2" customFormat="1" ht="27" spans="1:10">
      <c r="A5158" s="6">
        <f>5156</f>
        <v>5156</v>
      </c>
      <c r="B5158" s="6" t="s">
        <v>13304</v>
      </c>
      <c r="C5158" s="6" t="s">
        <v>12</v>
      </c>
      <c r="D5158" s="6" t="s">
        <v>13005</v>
      </c>
      <c r="E5158" s="6" t="s">
        <v>13284</v>
      </c>
      <c r="F5158" s="6" t="s">
        <v>13305</v>
      </c>
      <c r="G5158" s="6" t="s">
        <v>16</v>
      </c>
      <c r="H5158" s="5">
        <v>4</v>
      </c>
      <c r="I5158" s="6" t="s">
        <v>13306</v>
      </c>
      <c r="J5158" s="5">
        <v>695</v>
      </c>
    </row>
    <row r="5159" s="2" customFormat="1" ht="27" spans="1:10">
      <c r="A5159" s="6">
        <f>5157</f>
        <v>5157</v>
      </c>
      <c r="B5159" s="6" t="s">
        <v>13307</v>
      </c>
      <c r="C5159" s="6" t="s">
        <v>12</v>
      </c>
      <c r="D5159" s="6" t="s">
        <v>13005</v>
      </c>
      <c r="E5159" s="6" t="s">
        <v>13284</v>
      </c>
      <c r="F5159" s="6" t="s">
        <v>13308</v>
      </c>
      <c r="G5159" s="6" t="s">
        <v>16</v>
      </c>
      <c r="H5159" s="5">
        <v>4</v>
      </c>
      <c r="I5159" s="6" t="s">
        <v>13309</v>
      </c>
      <c r="J5159" s="5">
        <v>1072</v>
      </c>
    </row>
    <row r="5160" s="2" customFormat="1" ht="27" spans="1:10">
      <c r="A5160" s="6">
        <f>5158</f>
        <v>5158</v>
      </c>
      <c r="B5160" s="6" t="s">
        <v>13310</v>
      </c>
      <c r="C5160" s="6" t="s">
        <v>12</v>
      </c>
      <c r="D5160" s="6" t="s">
        <v>13005</v>
      </c>
      <c r="E5160" s="6" t="s">
        <v>13284</v>
      </c>
      <c r="F5160" s="6" t="s">
        <v>13311</v>
      </c>
      <c r="G5160" s="6" t="s">
        <v>16</v>
      </c>
      <c r="H5160" s="5">
        <v>4</v>
      </c>
      <c r="I5160" s="6" t="s">
        <v>13312</v>
      </c>
      <c r="J5160" s="5">
        <v>852</v>
      </c>
    </row>
    <row r="5161" s="2" customFormat="1" ht="27" spans="1:10">
      <c r="A5161" s="6">
        <f>5159</f>
        <v>5159</v>
      </c>
      <c r="B5161" s="6" t="s">
        <v>13313</v>
      </c>
      <c r="C5161" s="6" t="s">
        <v>12</v>
      </c>
      <c r="D5161" s="6" t="s">
        <v>13005</v>
      </c>
      <c r="E5161" s="6" t="s">
        <v>13284</v>
      </c>
      <c r="F5161" s="6" t="s">
        <v>13314</v>
      </c>
      <c r="G5161" s="6" t="s">
        <v>16</v>
      </c>
      <c r="H5161" s="5">
        <v>4</v>
      </c>
      <c r="I5161" s="6" t="s">
        <v>13315</v>
      </c>
      <c r="J5161" s="5">
        <v>1760</v>
      </c>
    </row>
    <row r="5162" s="2" customFormat="1" ht="27" spans="1:10">
      <c r="A5162" s="6">
        <f>5160</f>
        <v>5160</v>
      </c>
      <c r="B5162" s="6" t="s">
        <v>13316</v>
      </c>
      <c r="C5162" s="6" t="s">
        <v>12</v>
      </c>
      <c r="D5162" s="6" t="s">
        <v>13005</v>
      </c>
      <c r="E5162" s="6" t="s">
        <v>13284</v>
      </c>
      <c r="F5162" s="6" t="s">
        <v>13317</v>
      </c>
      <c r="G5162" s="6" t="s">
        <v>16</v>
      </c>
      <c r="H5162" s="5">
        <v>4</v>
      </c>
      <c r="I5162" s="6" t="s">
        <v>13318</v>
      </c>
      <c r="J5162" s="5">
        <v>860</v>
      </c>
    </row>
    <row r="5163" s="2" customFormat="1" spans="1:10">
      <c r="A5163" s="6">
        <f>5161</f>
        <v>5161</v>
      </c>
      <c r="B5163" s="6" t="s">
        <v>13319</v>
      </c>
      <c r="C5163" s="6" t="s">
        <v>12</v>
      </c>
      <c r="D5163" s="6" t="s">
        <v>13005</v>
      </c>
      <c r="E5163" s="6" t="s">
        <v>13284</v>
      </c>
      <c r="F5163" s="6" t="s">
        <v>13320</v>
      </c>
      <c r="G5163" s="6" t="s">
        <v>16</v>
      </c>
      <c r="H5163" s="5">
        <v>1</v>
      </c>
      <c r="I5163" s="6" t="s">
        <v>13320</v>
      </c>
      <c r="J5163" s="5">
        <v>460</v>
      </c>
    </row>
    <row r="5164" s="2" customFormat="1" spans="1:10">
      <c r="A5164" s="6">
        <f>5162</f>
        <v>5162</v>
      </c>
      <c r="B5164" s="6" t="s">
        <v>13321</v>
      </c>
      <c r="C5164" s="6" t="s">
        <v>12</v>
      </c>
      <c r="D5164" s="6" t="s">
        <v>13005</v>
      </c>
      <c r="E5164" s="6" t="s">
        <v>13284</v>
      </c>
      <c r="F5164" s="6" t="s">
        <v>13322</v>
      </c>
      <c r="G5164" s="6" t="s">
        <v>16</v>
      </c>
      <c r="H5164" s="5">
        <v>1</v>
      </c>
      <c r="I5164" s="6" t="s">
        <v>13322</v>
      </c>
      <c r="J5164" s="5">
        <v>440</v>
      </c>
    </row>
    <row r="5165" s="2" customFormat="1" spans="1:10">
      <c r="A5165" s="6">
        <f>5163</f>
        <v>5163</v>
      </c>
      <c r="B5165" s="6" t="s">
        <v>13323</v>
      </c>
      <c r="C5165" s="6" t="s">
        <v>12</v>
      </c>
      <c r="D5165" s="6" t="s">
        <v>13005</v>
      </c>
      <c r="E5165" s="6" t="s">
        <v>13284</v>
      </c>
      <c r="F5165" s="6" t="s">
        <v>13324</v>
      </c>
      <c r="G5165" s="6" t="s">
        <v>16</v>
      </c>
      <c r="H5165" s="5">
        <v>3</v>
      </c>
      <c r="I5165" s="6" t="s">
        <v>13325</v>
      </c>
      <c r="J5165" s="5">
        <v>758</v>
      </c>
    </row>
    <row r="5166" s="2" customFormat="1" spans="1:10">
      <c r="A5166" s="6">
        <f>5164</f>
        <v>5164</v>
      </c>
      <c r="B5166" s="6" t="s">
        <v>13326</v>
      </c>
      <c r="C5166" s="6" t="s">
        <v>12</v>
      </c>
      <c r="D5166" s="6" t="s">
        <v>13005</v>
      </c>
      <c r="E5166" s="6" t="s">
        <v>13284</v>
      </c>
      <c r="F5166" s="6" t="s">
        <v>13327</v>
      </c>
      <c r="G5166" s="6" t="s">
        <v>16</v>
      </c>
      <c r="H5166" s="5">
        <v>2</v>
      </c>
      <c r="I5166" s="6" t="s">
        <v>13328</v>
      </c>
      <c r="J5166" s="5">
        <v>858</v>
      </c>
    </row>
    <row r="5167" s="2" customFormat="1" spans="1:10">
      <c r="A5167" s="6">
        <f>5165</f>
        <v>5165</v>
      </c>
      <c r="B5167" s="6" t="s">
        <v>13329</v>
      </c>
      <c r="C5167" s="6" t="s">
        <v>12</v>
      </c>
      <c r="D5167" s="6" t="s">
        <v>13005</v>
      </c>
      <c r="E5167" s="6" t="s">
        <v>13284</v>
      </c>
      <c r="F5167" s="6" t="s">
        <v>13330</v>
      </c>
      <c r="G5167" s="6" t="s">
        <v>16</v>
      </c>
      <c r="H5167" s="5">
        <v>3</v>
      </c>
      <c r="I5167" s="6" t="s">
        <v>13331</v>
      </c>
      <c r="J5167" s="5">
        <v>900</v>
      </c>
    </row>
    <row r="5168" s="2" customFormat="1" spans="1:10">
      <c r="A5168" s="6">
        <f>5166</f>
        <v>5166</v>
      </c>
      <c r="B5168" s="6" t="s">
        <v>13332</v>
      </c>
      <c r="C5168" s="6" t="s">
        <v>12</v>
      </c>
      <c r="D5168" s="6" t="s">
        <v>13005</v>
      </c>
      <c r="E5168" s="6" t="s">
        <v>13284</v>
      </c>
      <c r="F5168" s="6" t="s">
        <v>13333</v>
      </c>
      <c r="G5168" s="6" t="s">
        <v>16</v>
      </c>
      <c r="H5168" s="5">
        <v>3</v>
      </c>
      <c r="I5168" s="6" t="s">
        <v>13334</v>
      </c>
      <c r="J5168" s="5">
        <v>1133</v>
      </c>
    </row>
    <row r="5169" s="2" customFormat="1" spans="1:10">
      <c r="A5169" s="6">
        <f>5167</f>
        <v>5167</v>
      </c>
      <c r="B5169" s="6" t="s">
        <v>13335</v>
      </c>
      <c r="C5169" s="6" t="s">
        <v>12</v>
      </c>
      <c r="D5169" s="6" t="s">
        <v>13005</v>
      </c>
      <c r="E5169" s="6" t="s">
        <v>13284</v>
      </c>
      <c r="F5169" s="6" t="s">
        <v>13336</v>
      </c>
      <c r="G5169" s="6" t="s">
        <v>16</v>
      </c>
      <c r="H5169" s="5">
        <v>2</v>
      </c>
      <c r="I5169" s="6" t="s">
        <v>13337</v>
      </c>
      <c r="J5169" s="5">
        <v>446</v>
      </c>
    </row>
    <row r="5170" s="2" customFormat="1" spans="1:10">
      <c r="A5170" s="6">
        <f>5168</f>
        <v>5168</v>
      </c>
      <c r="B5170" s="6" t="s">
        <v>13338</v>
      </c>
      <c r="C5170" s="6" t="s">
        <v>12</v>
      </c>
      <c r="D5170" s="6" t="s">
        <v>13005</v>
      </c>
      <c r="E5170" s="6" t="s">
        <v>13284</v>
      </c>
      <c r="F5170" s="6" t="s">
        <v>4690</v>
      </c>
      <c r="G5170" s="6" t="s">
        <v>16</v>
      </c>
      <c r="H5170" s="5">
        <v>1</v>
      </c>
      <c r="I5170" s="6" t="s">
        <v>4690</v>
      </c>
      <c r="J5170" s="5">
        <v>540</v>
      </c>
    </row>
    <row r="5171" s="2" customFormat="1" spans="1:10">
      <c r="A5171" s="6">
        <f>5169</f>
        <v>5169</v>
      </c>
      <c r="B5171" s="6" t="s">
        <v>13339</v>
      </c>
      <c r="C5171" s="6" t="s">
        <v>12</v>
      </c>
      <c r="D5171" s="6" t="s">
        <v>13005</v>
      </c>
      <c r="E5171" s="6" t="s">
        <v>13284</v>
      </c>
      <c r="F5171" s="6" t="s">
        <v>13179</v>
      </c>
      <c r="G5171" s="6" t="s">
        <v>16</v>
      </c>
      <c r="H5171" s="5">
        <v>1</v>
      </c>
      <c r="I5171" s="6" t="s">
        <v>13179</v>
      </c>
      <c r="J5171" s="5">
        <v>444</v>
      </c>
    </row>
    <row r="5172" s="2" customFormat="1" spans="1:10">
      <c r="A5172" s="6">
        <f>5170</f>
        <v>5170</v>
      </c>
      <c r="B5172" s="6" t="s">
        <v>13340</v>
      </c>
      <c r="C5172" s="6" t="s">
        <v>12</v>
      </c>
      <c r="D5172" s="6" t="s">
        <v>13005</v>
      </c>
      <c r="E5172" s="6" t="s">
        <v>13284</v>
      </c>
      <c r="F5172" s="6" t="s">
        <v>13341</v>
      </c>
      <c r="G5172" s="6" t="s">
        <v>16</v>
      </c>
      <c r="H5172" s="5">
        <v>2</v>
      </c>
      <c r="I5172" s="6" t="s">
        <v>13342</v>
      </c>
      <c r="J5172" s="5">
        <v>840</v>
      </c>
    </row>
    <row r="5173" s="2" customFormat="1" ht="27" spans="1:10">
      <c r="A5173" s="6">
        <f>5171</f>
        <v>5171</v>
      </c>
      <c r="B5173" s="6" t="s">
        <v>13343</v>
      </c>
      <c r="C5173" s="6" t="s">
        <v>12</v>
      </c>
      <c r="D5173" s="6" t="s">
        <v>13005</v>
      </c>
      <c r="E5173" s="6" t="s">
        <v>13284</v>
      </c>
      <c r="F5173" s="6" t="s">
        <v>13344</v>
      </c>
      <c r="G5173" s="6" t="s">
        <v>16</v>
      </c>
      <c r="H5173" s="5">
        <v>5</v>
      </c>
      <c r="I5173" s="6" t="s">
        <v>13345</v>
      </c>
      <c r="J5173" s="5">
        <v>1085</v>
      </c>
    </row>
    <row r="5174" s="2" customFormat="1" ht="27" spans="1:10">
      <c r="A5174" s="6">
        <f>5172</f>
        <v>5172</v>
      </c>
      <c r="B5174" s="6" t="s">
        <v>13346</v>
      </c>
      <c r="C5174" s="6" t="s">
        <v>12</v>
      </c>
      <c r="D5174" s="6" t="s">
        <v>13005</v>
      </c>
      <c r="E5174" s="6" t="s">
        <v>13284</v>
      </c>
      <c r="F5174" s="6" t="s">
        <v>13347</v>
      </c>
      <c r="G5174" s="6" t="s">
        <v>16</v>
      </c>
      <c r="H5174" s="5">
        <v>4</v>
      </c>
      <c r="I5174" s="6" t="s">
        <v>13348</v>
      </c>
      <c r="J5174" s="5">
        <v>984</v>
      </c>
    </row>
    <row r="5175" s="2" customFormat="1" spans="1:10">
      <c r="A5175" s="6">
        <f>5173</f>
        <v>5173</v>
      </c>
      <c r="B5175" s="6" t="s">
        <v>13349</v>
      </c>
      <c r="C5175" s="6" t="s">
        <v>12</v>
      </c>
      <c r="D5175" s="6" t="s">
        <v>13005</v>
      </c>
      <c r="E5175" s="6" t="s">
        <v>13284</v>
      </c>
      <c r="F5175" s="6" t="s">
        <v>13350</v>
      </c>
      <c r="G5175" s="6" t="s">
        <v>16</v>
      </c>
      <c r="H5175" s="5">
        <v>1</v>
      </c>
      <c r="I5175" s="6" t="s">
        <v>13350</v>
      </c>
      <c r="J5175" s="5">
        <v>279</v>
      </c>
    </row>
    <row r="5176" s="2" customFormat="1" spans="1:10">
      <c r="A5176" s="6">
        <f>5174</f>
        <v>5174</v>
      </c>
      <c r="B5176" s="6" t="s">
        <v>13351</v>
      </c>
      <c r="C5176" s="6" t="s">
        <v>12</v>
      </c>
      <c r="D5176" s="6" t="s">
        <v>13005</v>
      </c>
      <c r="E5176" s="6" t="s">
        <v>13284</v>
      </c>
      <c r="F5176" s="6" t="s">
        <v>13352</v>
      </c>
      <c r="G5176" s="6" t="s">
        <v>16</v>
      </c>
      <c r="H5176" s="5">
        <v>3</v>
      </c>
      <c r="I5176" s="6" t="s">
        <v>13353</v>
      </c>
      <c r="J5176" s="5">
        <v>780</v>
      </c>
    </row>
    <row r="5177" s="2" customFormat="1" ht="27" spans="1:10">
      <c r="A5177" s="6">
        <f>5175</f>
        <v>5175</v>
      </c>
      <c r="B5177" s="6" t="s">
        <v>13354</v>
      </c>
      <c r="C5177" s="6" t="s">
        <v>12</v>
      </c>
      <c r="D5177" s="6" t="s">
        <v>13005</v>
      </c>
      <c r="E5177" s="6" t="s">
        <v>13284</v>
      </c>
      <c r="F5177" s="6" t="s">
        <v>13355</v>
      </c>
      <c r="G5177" s="6" t="s">
        <v>16</v>
      </c>
      <c r="H5177" s="5">
        <v>6</v>
      </c>
      <c r="I5177" s="6" t="s">
        <v>13356</v>
      </c>
      <c r="J5177" s="5">
        <v>1620</v>
      </c>
    </row>
    <row r="5178" s="2" customFormat="1" spans="1:10">
      <c r="A5178" s="6">
        <f>5176</f>
        <v>5176</v>
      </c>
      <c r="B5178" s="6" t="s">
        <v>13357</v>
      </c>
      <c r="C5178" s="6" t="s">
        <v>12</v>
      </c>
      <c r="D5178" s="6" t="s">
        <v>13005</v>
      </c>
      <c r="E5178" s="6" t="s">
        <v>13284</v>
      </c>
      <c r="F5178" s="6" t="s">
        <v>13358</v>
      </c>
      <c r="G5178" s="6" t="s">
        <v>16</v>
      </c>
      <c r="H5178" s="5">
        <v>2</v>
      </c>
      <c r="I5178" s="6" t="s">
        <v>13359</v>
      </c>
      <c r="J5178" s="5">
        <v>678</v>
      </c>
    </row>
    <row r="5179" s="2" customFormat="1" spans="1:10">
      <c r="A5179" s="6">
        <f>5177</f>
        <v>5177</v>
      </c>
      <c r="B5179" s="6" t="s">
        <v>13360</v>
      </c>
      <c r="C5179" s="6" t="s">
        <v>12</v>
      </c>
      <c r="D5179" s="6" t="s">
        <v>13005</v>
      </c>
      <c r="E5179" s="6" t="s">
        <v>13284</v>
      </c>
      <c r="F5179" s="6" t="s">
        <v>13361</v>
      </c>
      <c r="G5179" s="6" t="s">
        <v>16</v>
      </c>
      <c r="H5179" s="5">
        <v>3</v>
      </c>
      <c r="I5179" s="6" t="s">
        <v>13362</v>
      </c>
      <c r="J5179" s="5">
        <v>718</v>
      </c>
    </row>
    <row r="5180" s="2" customFormat="1" spans="1:10">
      <c r="A5180" s="6">
        <f>5178</f>
        <v>5178</v>
      </c>
      <c r="B5180" s="6" t="s">
        <v>13363</v>
      </c>
      <c r="C5180" s="6" t="s">
        <v>12</v>
      </c>
      <c r="D5180" s="6" t="s">
        <v>13005</v>
      </c>
      <c r="E5180" s="6" t="s">
        <v>13284</v>
      </c>
      <c r="F5180" s="6" t="s">
        <v>13364</v>
      </c>
      <c r="G5180" s="6" t="s">
        <v>16</v>
      </c>
      <c r="H5180" s="5">
        <v>3</v>
      </c>
      <c r="I5180" s="6" t="s">
        <v>13365</v>
      </c>
      <c r="J5180" s="5">
        <v>540</v>
      </c>
    </row>
    <row r="5181" s="2" customFormat="1" ht="40.5" spans="1:10">
      <c r="A5181" s="6">
        <f>5179</f>
        <v>5179</v>
      </c>
      <c r="B5181" s="6" t="s">
        <v>13366</v>
      </c>
      <c r="C5181" s="6" t="s">
        <v>12</v>
      </c>
      <c r="D5181" s="6" t="s">
        <v>13005</v>
      </c>
      <c r="E5181" s="6" t="s">
        <v>13284</v>
      </c>
      <c r="F5181" s="6" t="s">
        <v>13367</v>
      </c>
      <c r="G5181" s="6" t="s">
        <v>16</v>
      </c>
      <c r="H5181" s="5">
        <v>7</v>
      </c>
      <c r="I5181" s="6" t="s">
        <v>13368</v>
      </c>
      <c r="J5181" s="5">
        <v>1220</v>
      </c>
    </row>
    <row r="5182" s="2" customFormat="1" spans="1:10">
      <c r="A5182" s="6">
        <f>5180</f>
        <v>5180</v>
      </c>
      <c r="B5182" s="6" t="s">
        <v>13369</v>
      </c>
      <c r="C5182" s="6" t="s">
        <v>12</v>
      </c>
      <c r="D5182" s="6" t="s">
        <v>13005</v>
      </c>
      <c r="E5182" s="6" t="s">
        <v>13284</v>
      </c>
      <c r="F5182" s="6" t="s">
        <v>13370</v>
      </c>
      <c r="G5182" s="6" t="s">
        <v>16</v>
      </c>
      <c r="H5182" s="5">
        <v>2</v>
      </c>
      <c r="I5182" s="6" t="s">
        <v>13371</v>
      </c>
      <c r="J5182" s="5">
        <v>880</v>
      </c>
    </row>
    <row r="5183" s="2" customFormat="1" spans="1:10">
      <c r="A5183" s="6">
        <f>5181</f>
        <v>5181</v>
      </c>
      <c r="B5183" s="6" t="s">
        <v>13372</v>
      </c>
      <c r="C5183" s="6" t="s">
        <v>12</v>
      </c>
      <c r="D5183" s="6" t="s">
        <v>13005</v>
      </c>
      <c r="E5183" s="6" t="s">
        <v>13284</v>
      </c>
      <c r="F5183" s="6" t="s">
        <v>13373</v>
      </c>
      <c r="G5183" s="6" t="s">
        <v>16</v>
      </c>
      <c r="H5183" s="5">
        <v>1</v>
      </c>
      <c r="I5183" s="6" t="s">
        <v>13373</v>
      </c>
      <c r="J5183" s="5">
        <v>566</v>
      </c>
    </row>
    <row r="5184" s="2" customFormat="1" spans="1:10">
      <c r="A5184" s="6">
        <f>5182</f>
        <v>5182</v>
      </c>
      <c r="B5184" s="6" t="s">
        <v>13374</v>
      </c>
      <c r="C5184" s="6" t="s">
        <v>12</v>
      </c>
      <c r="D5184" s="6" t="s">
        <v>13005</v>
      </c>
      <c r="E5184" s="6" t="s">
        <v>13284</v>
      </c>
      <c r="F5184" s="6" t="s">
        <v>13375</v>
      </c>
      <c r="G5184" s="6" t="s">
        <v>16</v>
      </c>
      <c r="H5184" s="5">
        <v>1</v>
      </c>
      <c r="I5184" s="6" t="s">
        <v>13375</v>
      </c>
      <c r="J5184" s="5">
        <v>360</v>
      </c>
    </row>
    <row r="5185" s="2" customFormat="1" spans="1:10">
      <c r="A5185" s="6">
        <f>5183</f>
        <v>5183</v>
      </c>
      <c r="B5185" s="6" t="s">
        <v>13376</v>
      </c>
      <c r="C5185" s="6" t="s">
        <v>12</v>
      </c>
      <c r="D5185" s="6" t="s">
        <v>13005</v>
      </c>
      <c r="E5185" s="6" t="s">
        <v>13284</v>
      </c>
      <c r="F5185" s="6" t="s">
        <v>13377</v>
      </c>
      <c r="G5185" s="6" t="s">
        <v>16</v>
      </c>
      <c r="H5185" s="5">
        <v>2</v>
      </c>
      <c r="I5185" s="6" t="s">
        <v>13378</v>
      </c>
      <c r="J5185" s="5">
        <v>550</v>
      </c>
    </row>
    <row r="5186" s="2" customFormat="1" spans="1:10">
      <c r="A5186" s="6">
        <f>5184</f>
        <v>5184</v>
      </c>
      <c r="B5186" s="6" t="s">
        <v>13379</v>
      </c>
      <c r="C5186" s="6" t="s">
        <v>12</v>
      </c>
      <c r="D5186" s="6" t="s">
        <v>13005</v>
      </c>
      <c r="E5186" s="6" t="s">
        <v>13284</v>
      </c>
      <c r="F5186" s="6" t="s">
        <v>13380</v>
      </c>
      <c r="G5186" s="6" t="s">
        <v>16</v>
      </c>
      <c r="H5186" s="5">
        <v>1</v>
      </c>
      <c r="I5186" s="6" t="s">
        <v>13380</v>
      </c>
      <c r="J5186" s="5">
        <v>360</v>
      </c>
    </row>
    <row r="5187" s="2" customFormat="1" spans="1:10">
      <c r="A5187" s="6">
        <f>5185</f>
        <v>5185</v>
      </c>
      <c r="B5187" s="6" t="s">
        <v>13381</v>
      </c>
      <c r="C5187" s="6" t="s">
        <v>12</v>
      </c>
      <c r="D5187" s="6" t="s">
        <v>13005</v>
      </c>
      <c r="E5187" s="6" t="s">
        <v>13284</v>
      </c>
      <c r="F5187" s="6" t="s">
        <v>13382</v>
      </c>
      <c r="G5187" s="6" t="s">
        <v>16</v>
      </c>
      <c r="H5187" s="5">
        <v>2</v>
      </c>
      <c r="I5187" s="6" t="s">
        <v>13383</v>
      </c>
      <c r="J5187" s="5">
        <v>540</v>
      </c>
    </row>
    <row r="5188" s="2" customFormat="1" spans="1:10">
      <c r="A5188" s="6">
        <f>5186</f>
        <v>5186</v>
      </c>
      <c r="B5188" s="6" t="s">
        <v>13384</v>
      </c>
      <c r="C5188" s="6" t="s">
        <v>12</v>
      </c>
      <c r="D5188" s="6" t="s">
        <v>13005</v>
      </c>
      <c r="E5188" s="6" t="s">
        <v>13284</v>
      </c>
      <c r="F5188" s="6" t="s">
        <v>13385</v>
      </c>
      <c r="G5188" s="6" t="s">
        <v>16</v>
      </c>
      <c r="H5188" s="5">
        <v>3</v>
      </c>
      <c r="I5188" s="6" t="s">
        <v>13386</v>
      </c>
      <c r="J5188" s="5">
        <v>580</v>
      </c>
    </row>
    <row r="5189" s="2" customFormat="1" spans="1:10">
      <c r="A5189" s="6">
        <f>5187</f>
        <v>5187</v>
      </c>
      <c r="B5189" s="6" t="s">
        <v>13387</v>
      </c>
      <c r="C5189" s="6" t="s">
        <v>12</v>
      </c>
      <c r="D5189" s="6" t="s">
        <v>13005</v>
      </c>
      <c r="E5189" s="6" t="s">
        <v>13284</v>
      </c>
      <c r="F5189" s="6" t="s">
        <v>13388</v>
      </c>
      <c r="G5189" s="6" t="s">
        <v>16</v>
      </c>
      <c r="H5189" s="5">
        <v>1</v>
      </c>
      <c r="I5189" s="6" t="s">
        <v>13388</v>
      </c>
      <c r="J5189" s="5">
        <v>265</v>
      </c>
    </row>
    <row r="5190" s="2" customFormat="1" spans="1:10">
      <c r="A5190" s="6">
        <f>5188</f>
        <v>5188</v>
      </c>
      <c r="B5190" s="6" t="s">
        <v>13389</v>
      </c>
      <c r="C5190" s="6" t="s">
        <v>12</v>
      </c>
      <c r="D5190" s="6" t="s">
        <v>13005</v>
      </c>
      <c r="E5190" s="6" t="s">
        <v>13284</v>
      </c>
      <c r="F5190" s="6" t="s">
        <v>13390</v>
      </c>
      <c r="G5190" s="6" t="s">
        <v>16</v>
      </c>
      <c r="H5190" s="5">
        <v>1</v>
      </c>
      <c r="I5190" s="6" t="s">
        <v>13390</v>
      </c>
      <c r="J5190" s="5">
        <v>280</v>
      </c>
    </row>
    <row r="5191" s="2" customFormat="1" spans="1:10">
      <c r="A5191" s="6">
        <f>5189</f>
        <v>5189</v>
      </c>
      <c r="B5191" s="6" t="s">
        <v>13391</v>
      </c>
      <c r="C5191" s="6" t="s">
        <v>12</v>
      </c>
      <c r="D5191" s="6" t="s">
        <v>13005</v>
      </c>
      <c r="E5191" s="6" t="s">
        <v>13284</v>
      </c>
      <c r="F5191" s="6" t="s">
        <v>13392</v>
      </c>
      <c r="G5191" s="6" t="s">
        <v>16</v>
      </c>
      <c r="H5191" s="5">
        <v>2</v>
      </c>
      <c r="I5191" s="6" t="s">
        <v>13393</v>
      </c>
      <c r="J5191" s="5">
        <v>552</v>
      </c>
    </row>
    <row r="5192" s="2" customFormat="1" spans="1:10">
      <c r="A5192" s="6">
        <f>5190</f>
        <v>5190</v>
      </c>
      <c r="B5192" s="6" t="s">
        <v>13394</v>
      </c>
      <c r="C5192" s="6" t="s">
        <v>12</v>
      </c>
      <c r="D5192" s="6" t="s">
        <v>13005</v>
      </c>
      <c r="E5192" s="6" t="s">
        <v>13284</v>
      </c>
      <c r="F5192" s="6" t="s">
        <v>13395</v>
      </c>
      <c r="G5192" s="6" t="s">
        <v>16</v>
      </c>
      <c r="H5192" s="5">
        <v>2</v>
      </c>
      <c r="I5192" s="6" t="s">
        <v>13396</v>
      </c>
      <c r="J5192" s="5">
        <v>920</v>
      </c>
    </row>
    <row r="5193" s="2" customFormat="1" spans="1:10">
      <c r="A5193" s="6">
        <f>5191</f>
        <v>5191</v>
      </c>
      <c r="B5193" s="6" t="s">
        <v>13397</v>
      </c>
      <c r="C5193" s="6" t="s">
        <v>12</v>
      </c>
      <c r="D5193" s="6" t="s">
        <v>13005</v>
      </c>
      <c r="E5193" s="6" t="s">
        <v>13284</v>
      </c>
      <c r="F5193" s="6" t="s">
        <v>13398</v>
      </c>
      <c r="G5193" s="6" t="s">
        <v>16</v>
      </c>
      <c r="H5193" s="5">
        <v>2</v>
      </c>
      <c r="I5193" s="6" t="s">
        <v>13399</v>
      </c>
      <c r="J5193" s="5">
        <v>540</v>
      </c>
    </row>
    <row r="5194" s="2" customFormat="1" ht="27" spans="1:10">
      <c r="A5194" s="6">
        <f>5192</f>
        <v>5192</v>
      </c>
      <c r="B5194" s="6" t="s">
        <v>13400</v>
      </c>
      <c r="C5194" s="6" t="s">
        <v>12</v>
      </c>
      <c r="D5194" s="6" t="s">
        <v>13005</v>
      </c>
      <c r="E5194" s="6" t="s">
        <v>13284</v>
      </c>
      <c r="F5194" s="6" t="s">
        <v>13401</v>
      </c>
      <c r="G5194" s="6" t="s">
        <v>16</v>
      </c>
      <c r="H5194" s="5">
        <v>5</v>
      </c>
      <c r="I5194" s="6" t="s">
        <v>13402</v>
      </c>
      <c r="J5194" s="5">
        <v>901</v>
      </c>
    </row>
    <row r="5195" s="2" customFormat="1" spans="1:10">
      <c r="A5195" s="6">
        <f>5193</f>
        <v>5193</v>
      </c>
      <c r="B5195" s="6" t="s">
        <v>13403</v>
      </c>
      <c r="C5195" s="6" t="s">
        <v>12</v>
      </c>
      <c r="D5195" s="6" t="s">
        <v>13005</v>
      </c>
      <c r="E5195" s="6" t="s">
        <v>13284</v>
      </c>
      <c r="F5195" s="6" t="s">
        <v>13404</v>
      </c>
      <c r="G5195" s="6" t="s">
        <v>16</v>
      </c>
      <c r="H5195" s="5">
        <v>2</v>
      </c>
      <c r="I5195" s="6" t="s">
        <v>13405</v>
      </c>
      <c r="J5195" s="5">
        <v>520</v>
      </c>
    </row>
    <row r="5196" s="2" customFormat="1" spans="1:10">
      <c r="A5196" s="6">
        <f>5194</f>
        <v>5194</v>
      </c>
      <c r="B5196" s="6" t="s">
        <v>13406</v>
      </c>
      <c r="C5196" s="6" t="s">
        <v>12</v>
      </c>
      <c r="D5196" s="6" t="s">
        <v>13005</v>
      </c>
      <c r="E5196" s="6" t="s">
        <v>13284</v>
      </c>
      <c r="F5196" s="6" t="s">
        <v>13407</v>
      </c>
      <c r="G5196" s="6" t="s">
        <v>16</v>
      </c>
      <c r="H5196" s="5">
        <v>2</v>
      </c>
      <c r="I5196" s="6" t="s">
        <v>13408</v>
      </c>
      <c r="J5196" s="5">
        <v>500</v>
      </c>
    </row>
    <row r="5197" s="2" customFormat="1" spans="1:10">
      <c r="A5197" s="6">
        <f>5195</f>
        <v>5195</v>
      </c>
      <c r="B5197" s="6" t="s">
        <v>13409</v>
      </c>
      <c r="C5197" s="6" t="s">
        <v>12</v>
      </c>
      <c r="D5197" s="6" t="s">
        <v>13005</v>
      </c>
      <c r="E5197" s="6" t="s">
        <v>13284</v>
      </c>
      <c r="F5197" s="6" t="s">
        <v>13410</v>
      </c>
      <c r="G5197" s="6" t="s">
        <v>16</v>
      </c>
      <c r="H5197" s="5">
        <v>1</v>
      </c>
      <c r="I5197" s="6" t="s">
        <v>13410</v>
      </c>
      <c r="J5197" s="5">
        <v>620</v>
      </c>
    </row>
    <row r="5198" s="2" customFormat="1" spans="1:10">
      <c r="A5198" s="6">
        <f>5196</f>
        <v>5196</v>
      </c>
      <c r="B5198" s="6" t="s">
        <v>13411</v>
      </c>
      <c r="C5198" s="6" t="s">
        <v>12</v>
      </c>
      <c r="D5198" s="6" t="s">
        <v>13005</v>
      </c>
      <c r="E5198" s="6" t="s">
        <v>13284</v>
      </c>
      <c r="F5198" s="6" t="s">
        <v>13324</v>
      </c>
      <c r="G5198" s="6" t="s">
        <v>16</v>
      </c>
      <c r="H5198" s="5">
        <v>1</v>
      </c>
      <c r="I5198" s="6" t="s">
        <v>13324</v>
      </c>
      <c r="J5198" s="5">
        <v>295</v>
      </c>
    </row>
    <row r="5199" s="2" customFormat="1" spans="1:10">
      <c r="A5199" s="6">
        <f>5197</f>
        <v>5197</v>
      </c>
      <c r="B5199" s="6" t="s">
        <v>13412</v>
      </c>
      <c r="C5199" s="6" t="s">
        <v>12</v>
      </c>
      <c r="D5199" s="6" t="s">
        <v>13005</v>
      </c>
      <c r="E5199" s="6" t="s">
        <v>13284</v>
      </c>
      <c r="F5199" s="6" t="s">
        <v>13413</v>
      </c>
      <c r="G5199" s="6" t="s">
        <v>16</v>
      </c>
      <c r="H5199" s="5">
        <v>2</v>
      </c>
      <c r="I5199" s="6" t="s">
        <v>13414</v>
      </c>
      <c r="J5199" s="5">
        <v>560</v>
      </c>
    </row>
    <row r="5200" s="2" customFormat="1" spans="1:10">
      <c r="A5200" s="6">
        <f>5198</f>
        <v>5198</v>
      </c>
      <c r="B5200" s="6" t="s">
        <v>13415</v>
      </c>
      <c r="C5200" s="6" t="s">
        <v>12</v>
      </c>
      <c r="D5200" s="6" t="s">
        <v>13005</v>
      </c>
      <c r="E5200" s="6" t="s">
        <v>13284</v>
      </c>
      <c r="F5200" s="6" t="s">
        <v>13327</v>
      </c>
      <c r="G5200" s="6" t="s">
        <v>16</v>
      </c>
      <c r="H5200" s="5">
        <v>1</v>
      </c>
      <c r="I5200" s="6" t="s">
        <v>13327</v>
      </c>
      <c r="J5200" s="5">
        <v>360</v>
      </c>
    </row>
    <row r="5201" s="2" customFormat="1" spans="1:10">
      <c r="A5201" s="6">
        <f>5199</f>
        <v>5199</v>
      </c>
      <c r="B5201" s="6" t="s">
        <v>13416</v>
      </c>
      <c r="C5201" s="6" t="s">
        <v>12</v>
      </c>
      <c r="D5201" s="6" t="s">
        <v>13005</v>
      </c>
      <c r="E5201" s="6" t="s">
        <v>13284</v>
      </c>
      <c r="F5201" s="6" t="s">
        <v>13417</v>
      </c>
      <c r="G5201" s="6" t="s">
        <v>16</v>
      </c>
      <c r="H5201" s="5">
        <v>1</v>
      </c>
      <c r="I5201" s="6" t="s">
        <v>13417</v>
      </c>
      <c r="J5201" s="5">
        <v>260</v>
      </c>
    </row>
    <row r="5202" s="2" customFormat="1" spans="1:10">
      <c r="A5202" s="6">
        <f>5200</f>
        <v>5200</v>
      </c>
      <c r="B5202" s="6" t="s">
        <v>13418</v>
      </c>
      <c r="C5202" s="6" t="s">
        <v>12</v>
      </c>
      <c r="D5202" s="6" t="s">
        <v>13005</v>
      </c>
      <c r="E5202" s="6" t="s">
        <v>13284</v>
      </c>
      <c r="F5202" s="6" t="s">
        <v>13419</v>
      </c>
      <c r="G5202" s="6" t="s">
        <v>16</v>
      </c>
      <c r="H5202" s="5">
        <v>1</v>
      </c>
      <c r="I5202" s="6" t="s">
        <v>13419</v>
      </c>
      <c r="J5202" s="5">
        <v>474</v>
      </c>
    </row>
    <row r="5203" s="2" customFormat="1" spans="1:10">
      <c r="A5203" s="6">
        <f>5201</f>
        <v>5201</v>
      </c>
      <c r="B5203" s="6" t="s">
        <v>13420</v>
      </c>
      <c r="C5203" s="6" t="s">
        <v>12</v>
      </c>
      <c r="D5203" s="6" t="s">
        <v>13005</v>
      </c>
      <c r="E5203" s="6" t="s">
        <v>13284</v>
      </c>
      <c r="F5203" s="6" t="s">
        <v>4162</v>
      </c>
      <c r="G5203" s="6" t="s">
        <v>16</v>
      </c>
      <c r="H5203" s="5">
        <v>3</v>
      </c>
      <c r="I5203" s="6" t="s">
        <v>13421</v>
      </c>
      <c r="J5203" s="5">
        <v>780</v>
      </c>
    </row>
    <row r="5204" s="2" customFormat="1" ht="27" spans="1:10">
      <c r="A5204" s="6">
        <f>5202</f>
        <v>5202</v>
      </c>
      <c r="B5204" s="6" t="s">
        <v>13422</v>
      </c>
      <c r="C5204" s="6" t="s">
        <v>12</v>
      </c>
      <c r="D5204" s="6" t="s">
        <v>13005</v>
      </c>
      <c r="E5204" s="6" t="s">
        <v>13284</v>
      </c>
      <c r="F5204" s="6" t="s">
        <v>13423</v>
      </c>
      <c r="G5204" s="6" t="s">
        <v>16</v>
      </c>
      <c r="H5204" s="5">
        <v>4</v>
      </c>
      <c r="I5204" s="6" t="s">
        <v>13424</v>
      </c>
      <c r="J5204" s="5">
        <v>1460</v>
      </c>
    </row>
    <row r="5205" s="2" customFormat="1" spans="1:10">
      <c r="A5205" s="6">
        <f>5203</f>
        <v>5203</v>
      </c>
      <c r="B5205" s="6" t="s">
        <v>13425</v>
      </c>
      <c r="C5205" s="6" t="s">
        <v>12</v>
      </c>
      <c r="D5205" s="6" t="s">
        <v>13005</v>
      </c>
      <c r="E5205" s="6" t="s">
        <v>13284</v>
      </c>
      <c r="F5205" s="6" t="s">
        <v>13426</v>
      </c>
      <c r="G5205" s="6" t="s">
        <v>16</v>
      </c>
      <c r="H5205" s="5">
        <v>1</v>
      </c>
      <c r="I5205" s="6" t="s">
        <v>13426</v>
      </c>
      <c r="J5205" s="5">
        <v>540</v>
      </c>
    </row>
    <row r="5206" s="2" customFormat="1" spans="1:10">
      <c r="A5206" s="6">
        <f>5204</f>
        <v>5204</v>
      </c>
      <c r="B5206" s="6" t="s">
        <v>13427</v>
      </c>
      <c r="C5206" s="6" t="s">
        <v>12</v>
      </c>
      <c r="D5206" s="6" t="s">
        <v>13005</v>
      </c>
      <c r="E5206" s="6" t="s">
        <v>13284</v>
      </c>
      <c r="F5206" s="6" t="s">
        <v>13428</v>
      </c>
      <c r="G5206" s="6" t="s">
        <v>16</v>
      </c>
      <c r="H5206" s="5">
        <v>1</v>
      </c>
      <c r="I5206" s="6" t="s">
        <v>13428</v>
      </c>
      <c r="J5206" s="5">
        <v>404</v>
      </c>
    </row>
    <row r="5207" s="2" customFormat="1" spans="1:10">
      <c r="A5207" s="6">
        <f>5205</f>
        <v>5205</v>
      </c>
      <c r="B5207" s="6" t="s">
        <v>13429</v>
      </c>
      <c r="C5207" s="6" t="s">
        <v>12</v>
      </c>
      <c r="D5207" s="6" t="s">
        <v>13005</v>
      </c>
      <c r="E5207" s="6" t="s">
        <v>13284</v>
      </c>
      <c r="F5207" s="6" t="s">
        <v>13430</v>
      </c>
      <c r="G5207" s="6" t="s">
        <v>16</v>
      </c>
      <c r="H5207" s="5">
        <v>2</v>
      </c>
      <c r="I5207" s="6" t="s">
        <v>13431</v>
      </c>
      <c r="J5207" s="5">
        <v>484</v>
      </c>
    </row>
    <row r="5208" s="2" customFormat="1" spans="1:10">
      <c r="A5208" s="6">
        <f>5206</f>
        <v>5206</v>
      </c>
      <c r="B5208" s="6" t="s">
        <v>13432</v>
      </c>
      <c r="C5208" s="6" t="s">
        <v>12</v>
      </c>
      <c r="D5208" s="6" t="s">
        <v>13005</v>
      </c>
      <c r="E5208" s="6" t="s">
        <v>13284</v>
      </c>
      <c r="F5208" s="6" t="s">
        <v>11330</v>
      </c>
      <c r="G5208" s="6" t="s">
        <v>16</v>
      </c>
      <c r="H5208" s="5">
        <v>1</v>
      </c>
      <c r="I5208" s="6" t="s">
        <v>11330</v>
      </c>
      <c r="J5208" s="5">
        <v>275</v>
      </c>
    </row>
    <row r="5209" s="2" customFormat="1" spans="1:10">
      <c r="A5209" s="6">
        <f>5207</f>
        <v>5207</v>
      </c>
      <c r="B5209" s="6" t="s">
        <v>13433</v>
      </c>
      <c r="C5209" s="6" t="s">
        <v>12</v>
      </c>
      <c r="D5209" s="6" t="s">
        <v>13005</v>
      </c>
      <c r="E5209" s="6" t="s">
        <v>13284</v>
      </c>
      <c r="F5209" s="6" t="s">
        <v>13434</v>
      </c>
      <c r="G5209" s="6" t="s">
        <v>16</v>
      </c>
      <c r="H5209" s="5">
        <v>2</v>
      </c>
      <c r="I5209" s="6" t="s">
        <v>13435</v>
      </c>
      <c r="J5209" s="5">
        <v>580</v>
      </c>
    </row>
    <row r="5210" s="2" customFormat="1" spans="1:10">
      <c r="A5210" s="6">
        <f>5208</f>
        <v>5208</v>
      </c>
      <c r="B5210" s="6" t="s">
        <v>13436</v>
      </c>
      <c r="C5210" s="6" t="s">
        <v>12</v>
      </c>
      <c r="D5210" s="6" t="s">
        <v>13005</v>
      </c>
      <c r="E5210" s="6" t="s">
        <v>13284</v>
      </c>
      <c r="F5210" s="6" t="s">
        <v>13437</v>
      </c>
      <c r="G5210" s="6" t="s">
        <v>16</v>
      </c>
      <c r="H5210" s="5">
        <v>2</v>
      </c>
      <c r="I5210" s="6" t="s">
        <v>13438</v>
      </c>
      <c r="J5210" s="5">
        <v>750</v>
      </c>
    </row>
    <row r="5211" s="2" customFormat="1" spans="1:10">
      <c r="A5211" s="6">
        <f>5209</f>
        <v>5209</v>
      </c>
      <c r="B5211" s="6" t="s">
        <v>13439</v>
      </c>
      <c r="C5211" s="6" t="s">
        <v>12</v>
      </c>
      <c r="D5211" s="6" t="s">
        <v>13005</v>
      </c>
      <c r="E5211" s="6" t="s">
        <v>13284</v>
      </c>
      <c r="F5211" s="6" t="s">
        <v>13440</v>
      </c>
      <c r="G5211" s="6" t="s">
        <v>16</v>
      </c>
      <c r="H5211" s="5">
        <v>2</v>
      </c>
      <c r="I5211" s="6" t="s">
        <v>13441</v>
      </c>
      <c r="J5211" s="5">
        <v>478</v>
      </c>
    </row>
    <row r="5212" s="2" customFormat="1" spans="1:10">
      <c r="A5212" s="6">
        <f>5210</f>
        <v>5210</v>
      </c>
      <c r="B5212" s="6" t="s">
        <v>13442</v>
      </c>
      <c r="C5212" s="6" t="s">
        <v>12</v>
      </c>
      <c r="D5212" s="6" t="s">
        <v>13005</v>
      </c>
      <c r="E5212" s="6" t="s">
        <v>13284</v>
      </c>
      <c r="F5212" s="6" t="s">
        <v>13443</v>
      </c>
      <c r="G5212" s="6" t="s">
        <v>16</v>
      </c>
      <c r="H5212" s="5">
        <v>1</v>
      </c>
      <c r="I5212" s="6" t="s">
        <v>13443</v>
      </c>
      <c r="J5212" s="5">
        <v>300</v>
      </c>
    </row>
    <row r="5213" s="2" customFormat="1" ht="27" spans="1:10">
      <c r="A5213" s="6">
        <f>5211</f>
        <v>5211</v>
      </c>
      <c r="B5213" s="6" t="s">
        <v>13444</v>
      </c>
      <c r="C5213" s="6" t="s">
        <v>12</v>
      </c>
      <c r="D5213" s="6" t="s">
        <v>13005</v>
      </c>
      <c r="E5213" s="6" t="s">
        <v>13445</v>
      </c>
      <c r="F5213" s="6" t="s">
        <v>13446</v>
      </c>
      <c r="G5213" s="6" t="s">
        <v>16</v>
      </c>
      <c r="H5213" s="5">
        <v>5</v>
      </c>
      <c r="I5213" s="6" t="s">
        <v>13447</v>
      </c>
      <c r="J5213" s="5">
        <v>1000</v>
      </c>
    </row>
    <row r="5214" s="2" customFormat="1" spans="1:10">
      <c r="A5214" s="6">
        <f>5212</f>
        <v>5212</v>
      </c>
      <c r="B5214" s="6" t="s">
        <v>13448</v>
      </c>
      <c r="C5214" s="6" t="s">
        <v>12</v>
      </c>
      <c r="D5214" s="6" t="s">
        <v>13005</v>
      </c>
      <c r="E5214" s="6" t="s">
        <v>13445</v>
      </c>
      <c r="F5214" s="6" t="s">
        <v>13449</v>
      </c>
      <c r="G5214" s="6" t="s">
        <v>16</v>
      </c>
      <c r="H5214" s="5">
        <v>1</v>
      </c>
      <c r="I5214" s="6" t="s">
        <v>13449</v>
      </c>
      <c r="J5214" s="5">
        <v>620</v>
      </c>
    </row>
    <row r="5215" s="2" customFormat="1" spans="1:10">
      <c r="A5215" s="6">
        <f>5213</f>
        <v>5213</v>
      </c>
      <c r="B5215" s="6" t="s">
        <v>13450</v>
      </c>
      <c r="C5215" s="6" t="s">
        <v>12</v>
      </c>
      <c r="D5215" s="6" t="s">
        <v>13005</v>
      </c>
      <c r="E5215" s="6" t="s">
        <v>13445</v>
      </c>
      <c r="F5215" s="6" t="s">
        <v>13451</v>
      </c>
      <c r="G5215" s="6" t="s">
        <v>16</v>
      </c>
      <c r="H5215" s="5">
        <v>2</v>
      </c>
      <c r="I5215" s="6" t="s">
        <v>13452</v>
      </c>
      <c r="J5215" s="5">
        <v>920</v>
      </c>
    </row>
    <row r="5216" s="2" customFormat="1" spans="1:10">
      <c r="A5216" s="6">
        <f>5214</f>
        <v>5214</v>
      </c>
      <c r="B5216" s="6" t="s">
        <v>13453</v>
      </c>
      <c r="C5216" s="6" t="s">
        <v>12</v>
      </c>
      <c r="D5216" s="6" t="s">
        <v>13005</v>
      </c>
      <c r="E5216" s="6" t="s">
        <v>13445</v>
      </c>
      <c r="F5216" s="6" t="s">
        <v>13454</v>
      </c>
      <c r="G5216" s="6" t="s">
        <v>16</v>
      </c>
      <c r="H5216" s="5">
        <v>1</v>
      </c>
      <c r="I5216" s="6" t="s">
        <v>13454</v>
      </c>
      <c r="J5216" s="5">
        <v>300</v>
      </c>
    </row>
    <row r="5217" s="2" customFormat="1" ht="27" spans="1:10">
      <c r="A5217" s="6">
        <f>5215</f>
        <v>5215</v>
      </c>
      <c r="B5217" s="6" t="s">
        <v>13455</v>
      </c>
      <c r="C5217" s="6" t="s">
        <v>12</v>
      </c>
      <c r="D5217" s="6" t="s">
        <v>13005</v>
      </c>
      <c r="E5217" s="6" t="s">
        <v>13445</v>
      </c>
      <c r="F5217" s="6" t="s">
        <v>13456</v>
      </c>
      <c r="G5217" s="6" t="s">
        <v>16</v>
      </c>
      <c r="H5217" s="5">
        <v>4</v>
      </c>
      <c r="I5217" s="6" t="s">
        <v>13457</v>
      </c>
      <c r="J5217" s="5">
        <v>1160</v>
      </c>
    </row>
    <row r="5218" s="2" customFormat="1" spans="1:10">
      <c r="A5218" s="6">
        <f>5216</f>
        <v>5216</v>
      </c>
      <c r="B5218" s="6" t="s">
        <v>13458</v>
      </c>
      <c r="C5218" s="6" t="s">
        <v>12</v>
      </c>
      <c r="D5218" s="6" t="s">
        <v>13005</v>
      </c>
      <c r="E5218" s="6" t="s">
        <v>13445</v>
      </c>
      <c r="F5218" s="6" t="s">
        <v>13459</v>
      </c>
      <c r="G5218" s="6" t="s">
        <v>16</v>
      </c>
      <c r="H5218" s="5">
        <v>3</v>
      </c>
      <c r="I5218" s="6" t="s">
        <v>13460</v>
      </c>
      <c r="J5218" s="5">
        <v>754</v>
      </c>
    </row>
    <row r="5219" s="2" customFormat="1" spans="1:10">
      <c r="A5219" s="6">
        <f>5217</f>
        <v>5217</v>
      </c>
      <c r="B5219" s="6" t="s">
        <v>13461</v>
      </c>
      <c r="C5219" s="6" t="s">
        <v>12</v>
      </c>
      <c r="D5219" s="6" t="s">
        <v>13005</v>
      </c>
      <c r="E5219" s="6" t="s">
        <v>13445</v>
      </c>
      <c r="F5219" s="6" t="s">
        <v>13462</v>
      </c>
      <c r="G5219" s="6" t="s">
        <v>16</v>
      </c>
      <c r="H5219" s="5">
        <v>3</v>
      </c>
      <c r="I5219" s="6" t="s">
        <v>13463</v>
      </c>
      <c r="J5219" s="5">
        <v>1080</v>
      </c>
    </row>
    <row r="5220" s="2" customFormat="1" spans="1:10">
      <c r="A5220" s="6">
        <f>5218</f>
        <v>5218</v>
      </c>
      <c r="B5220" s="6" t="s">
        <v>13464</v>
      </c>
      <c r="C5220" s="6" t="s">
        <v>12</v>
      </c>
      <c r="D5220" s="6" t="s">
        <v>13005</v>
      </c>
      <c r="E5220" s="6" t="s">
        <v>13445</v>
      </c>
      <c r="F5220" s="6" t="s">
        <v>13465</v>
      </c>
      <c r="G5220" s="6" t="s">
        <v>16</v>
      </c>
      <c r="H5220" s="5">
        <v>3</v>
      </c>
      <c r="I5220" s="6" t="s">
        <v>13466</v>
      </c>
      <c r="J5220" s="5">
        <v>1070</v>
      </c>
    </row>
    <row r="5221" s="2" customFormat="1" ht="27" spans="1:10">
      <c r="A5221" s="6">
        <f>5219</f>
        <v>5219</v>
      </c>
      <c r="B5221" s="6" t="s">
        <v>13467</v>
      </c>
      <c r="C5221" s="6" t="s">
        <v>12</v>
      </c>
      <c r="D5221" s="6" t="s">
        <v>13005</v>
      </c>
      <c r="E5221" s="6" t="s">
        <v>13445</v>
      </c>
      <c r="F5221" s="6" t="s">
        <v>13468</v>
      </c>
      <c r="G5221" s="6" t="s">
        <v>16</v>
      </c>
      <c r="H5221" s="5">
        <v>4</v>
      </c>
      <c r="I5221" s="6" t="s">
        <v>13469</v>
      </c>
      <c r="J5221" s="5">
        <v>1160</v>
      </c>
    </row>
    <row r="5222" s="2" customFormat="1" ht="27" spans="1:10">
      <c r="A5222" s="6">
        <f>5220</f>
        <v>5220</v>
      </c>
      <c r="B5222" s="6" t="s">
        <v>13470</v>
      </c>
      <c r="C5222" s="6" t="s">
        <v>12</v>
      </c>
      <c r="D5222" s="6" t="s">
        <v>13005</v>
      </c>
      <c r="E5222" s="6" t="s">
        <v>13445</v>
      </c>
      <c r="F5222" s="6" t="s">
        <v>13471</v>
      </c>
      <c r="G5222" s="6" t="s">
        <v>16</v>
      </c>
      <c r="H5222" s="5">
        <v>6</v>
      </c>
      <c r="I5222" s="6" t="s">
        <v>13472</v>
      </c>
      <c r="J5222" s="5">
        <v>1440</v>
      </c>
    </row>
    <row r="5223" s="2" customFormat="1" spans="1:10">
      <c r="A5223" s="6">
        <f>5221</f>
        <v>5221</v>
      </c>
      <c r="B5223" s="6" t="s">
        <v>13473</v>
      </c>
      <c r="C5223" s="6" t="s">
        <v>12</v>
      </c>
      <c r="D5223" s="6" t="s">
        <v>13005</v>
      </c>
      <c r="E5223" s="6" t="s">
        <v>13445</v>
      </c>
      <c r="F5223" s="6" t="s">
        <v>13474</v>
      </c>
      <c r="G5223" s="6" t="s">
        <v>16</v>
      </c>
      <c r="H5223" s="5">
        <v>3</v>
      </c>
      <c r="I5223" s="6" t="s">
        <v>13475</v>
      </c>
      <c r="J5223" s="5">
        <v>980</v>
      </c>
    </row>
    <row r="5224" s="2" customFormat="1" spans="1:10">
      <c r="A5224" s="6">
        <f>5222</f>
        <v>5222</v>
      </c>
      <c r="B5224" s="6" t="s">
        <v>13476</v>
      </c>
      <c r="C5224" s="6" t="s">
        <v>12</v>
      </c>
      <c r="D5224" s="6" t="s">
        <v>13005</v>
      </c>
      <c r="E5224" s="6" t="s">
        <v>13445</v>
      </c>
      <c r="F5224" s="6" t="s">
        <v>13477</v>
      </c>
      <c r="G5224" s="6" t="s">
        <v>16</v>
      </c>
      <c r="H5224" s="5">
        <v>3</v>
      </c>
      <c r="I5224" s="6" t="s">
        <v>13478</v>
      </c>
      <c r="J5224" s="5">
        <v>779</v>
      </c>
    </row>
    <row r="5225" s="2" customFormat="1" ht="27" spans="1:10">
      <c r="A5225" s="6">
        <f>5223</f>
        <v>5223</v>
      </c>
      <c r="B5225" s="6" t="s">
        <v>13479</v>
      </c>
      <c r="C5225" s="6" t="s">
        <v>12</v>
      </c>
      <c r="D5225" s="6" t="s">
        <v>13005</v>
      </c>
      <c r="E5225" s="6" t="s">
        <v>13445</v>
      </c>
      <c r="F5225" s="6" t="s">
        <v>13480</v>
      </c>
      <c r="G5225" s="6" t="s">
        <v>16</v>
      </c>
      <c r="H5225" s="5">
        <v>4</v>
      </c>
      <c r="I5225" s="6" t="s">
        <v>13481</v>
      </c>
      <c r="J5225" s="5">
        <v>1060</v>
      </c>
    </row>
    <row r="5226" s="2" customFormat="1" ht="27" spans="1:10">
      <c r="A5226" s="6">
        <f>5224</f>
        <v>5224</v>
      </c>
      <c r="B5226" s="6" t="s">
        <v>13482</v>
      </c>
      <c r="C5226" s="6" t="s">
        <v>12</v>
      </c>
      <c r="D5226" s="6" t="s">
        <v>13005</v>
      </c>
      <c r="E5226" s="6" t="s">
        <v>13445</v>
      </c>
      <c r="F5226" s="6" t="s">
        <v>13483</v>
      </c>
      <c r="G5226" s="6" t="s">
        <v>16</v>
      </c>
      <c r="H5226" s="5">
        <v>4</v>
      </c>
      <c r="I5226" s="6" t="s">
        <v>13484</v>
      </c>
      <c r="J5226" s="5">
        <v>842</v>
      </c>
    </row>
    <row r="5227" s="2" customFormat="1" spans="1:10">
      <c r="A5227" s="6">
        <f>5225</f>
        <v>5225</v>
      </c>
      <c r="B5227" s="6" t="s">
        <v>13485</v>
      </c>
      <c r="C5227" s="6" t="s">
        <v>12</v>
      </c>
      <c r="D5227" s="6" t="s">
        <v>13005</v>
      </c>
      <c r="E5227" s="6" t="s">
        <v>13445</v>
      </c>
      <c r="F5227" s="6" t="s">
        <v>13486</v>
      </c>
      <c r="G5227" s="6" t="s">
        <v>16</v>
      </c>
      <c r="H5227" s="5">
        <v>3</v>
      </c>
      <c r="I5227" s="6" t="s">
        <v>13487</v>
      </c>
      <c r="J5227" s="5">
        <v>833</v>
      </c>
    </row>
    <row r="5228" s="2" customFormat="1" ht="27" spans="1:10">
      <c r="A5228" s="6">
        <f>5226</f>
        <v>5226</v>
      </c>
      <c r="B5228" s="6" t="s">
        <v>13488</v>
      </c>
      <c r="C5228" s="6" t="s">
        <v>12</v>
      </c>
      <c r="D5228" s="6" t="s">
        <v>13005</v>
      </c>
      <c r="E5228" s="6" t="s">
        <v>13445</v>
      </c>
      <c r="F5228" s="6" t="s">
        <v>13489</v>
      </c>
      <c r="G5228" s="6" t="s">
        <v>16</v>
      </c>
      <c r="H5228" s="5">
        <v>5</v>
      </c>
      <c r="I5228" s="6" t="s">
        <v>13490</v>
      </c>
      <c r="J5228" s="5">
        <v>1015</v>
      </c>
    </row>
    <row r="5229" s="2" customFormat="1" spans="1:10">
      <c r="A5229" s="6">
        <f>5227</f>
        <v>5227</v>
      </c>
      <c r="B5229" s="6" t="s">
        <v>13491</v>
      </c>
      <c r="C5229" s="6" t="s">
        <v>12</v>
      </c>
      <c r="D5229" s="6" t="s">
        <v>13005</v>
      </c>
      <c r="E5229" s="6" t="s">
        <v>13445</v>
      </c>
      <c r="F5229" s="6" t="s">
        <v>13492</v>
      </c>
      <c r="G5229" s="6" t="s">
        <v>16</v>
      </c>
      <c r="H5229" s="5">
        <v>2</v>
      </c>
      <c r="I5229" s="6" t="s">
        <v>13493</v>
      </c>
      <c r="J5229" s="5">
        <v>536</v>
      </c>
    </row>
    <row r="5230" s="2" customFormat="1" spans="1:10">
      <c r="A5230" s="6">
        <f>5228</f>
        <v>5228</v>
      </c>
      <c r="B5230" s="6" t="s">
        <v>13494</v>
      </c>
      <c r="C5230" s="6" t="s">
        <v>12</v>
      </c>
      <c r="D5230" s="6" t="s">
        <v>13005</v>
      </c>
      <c r="E5230" s="6" t="s">
        <v>13445</v>
      </c>
      <c r="F5230" s="6" t="s">
        <v>13495</v>
      </c>
      <c r="G5230" s="6" t="s">
        <v>16</v>
      </c>
      <c r="H5230" s="5">
        <v>1</v>
      </c>
      <c r="I5230" s="6" t="s">
        <v>13495</v>
      </c>
      <c r="J5230" s="5">
        <v>483</v>
      </c>
    </row>
    <row r="5231" s="2" customFormat="1" ht="27" spans="1:10">
      <c r="A5231" s="6">
        <f>5229</f>
        <v>5229</v>
      </c>
      <c r="B5231" s="6" t="s">
        <v>13496</v>
      </c>
      <c r="C5231" s="6" t="s">
        <v>12</v>
      </c>
      <c r="D5231" s="6" t="s">
        <v>13005</v>
      </c>
      <c r="E5231" s="6" t="s">
        <v>13445</v>
      </c>
      <c r="F5231" s="6" t="s">
        <v>13497</v>
      </c>
      <c r="G5231" s="6" t="s">
        <v>16</v>
      </c>
      <c r="H5231" s="5">
        <v>4</v>
      </c>
      <c r="I5231" s="6" t="s">
        <v>13498</v>
      </c>
      <c r="J5231" s="5">
        <v>872</v>
      </c>
    </row>
    <row r="5232" s="2" customFormat="1" ht="27" spans="1:10">
      <c r="A5232" s="6">
        <f>5230</f>
        <v>5230</v>
      </c>
      <c r="B5232" s="6" t="s">
        <v>13499</v>
      </c>
      <c r="C5232" s="6" t="s">
        <v>12</v>
      </c>
      <c r="D5232" s="6" t="s">
        <v>13005</v>
      </c>
      <c r="E5232" s="6" t="s">
        <v>13445</v>
      </c>
      <c r="F5232" s="6" t="s">
        <v>13500</v>
      </c>
      <c r="G5232" s="6" t="s">
        <v>16</v>
      </c>
      <c r="H5232" s="5">
        <v>4</v>
      </c>
      <c r="I5232" s="6" t="s">
        <v>13501</v>
      </c>
      <c r="J5232" s="5">
        <v>740</v>
      </c>
    </row>
    <row r="5233" s="2" customFormat="1" ht="27" spans="1:10">
      <c r="A5233" s="6">
        <f>5231</f>
        <v>5231</v>
      </c>
      <c r="B5233" s="6" t="s">
        <v>13502</v>
      </c>
      <c r="C5233" s="6" t="s">
        <v>12</v>
      </c>
      <c r="D5233" s="6" t="s">
        <v>13005</v>
      </c>
      <c r="E5233" s="6" t="s">
        <v>13445</v>
      </c>
      <c r="F5233" s="6" t="s">
        <v>13503</v>
      </c>
      <c r="G5233" s="6" t="s">
        <v>16</v>
      </c>
      <c r="H5233" s="5">
        <v>5</v>
      </c>
      <c r="I5233" s="6" t="s">
        <v>13504</v>
      </c>
      <c r="J5233" s="5">
        <v>1190</v>
      </c>
    </row>
    <row r="5234" s="2" customFormat="1" spans="1:10">
      <c r="A5234" s="6">
        <f>5232</f>
        <v>5232</v>
      </c>
      <c r="B5234" s="6" t="s">
        <v>13505</v>
      </c>
      <c r="C5234" s="6" t="s">
        <v>12</v>
      </c>
      <c r="D5234" s="6" t="s">
        <v>13005</v>
      </c>
      <c r="E5234" s="6" t="s">
        <v>13445</v>
      </c>
      <c r="F5234" s="6" t="s">
        <v>13506</v>
      </c>
      <c r="G5234" s="6" t="s">
        <v>16</v>
      </c>
      <c r="H5234" s="5">
        <v>2</v>
      </c>
      <c r="I5234" s="6" t="s">
        <v>13507</v>
      </c>
      <c r="J5234" s="5">
        <v>360</v>
      </c>
    </row>
    <row r="5235" s="2" customFormat="1" spans="1:10">
      <c r="A5235" s="6">
        <f>5233</f>
        <v>5233</v>
      </c>
      <c r="B5235" s="6" t="s">
        <v>13508</v>
      </c>
      <c r="C5235" s="6" t="s">
        <v>12</v>
      </c>
      <c r="D5235" s="6" t="s">
        <v>13005</v>
      </c>
      <c r="E5235" s="6" t="s">
        <v>13445</v>
      </c>
      <c r="F5235" s="6" t="s">
        <v>1959</v>
      </c>
      <c r="G5235" s="6" t="s">
        <v>16</v>
      </c>
      <c r="H5235" s="5">
        <v>2</v>
      </c>
      <c r="I5235" s="6" t="s">
        <v>13509</v>
      </c>
      <c r="J5235" s="5">
        <v>396</v>
      </c>
    </row>
    <row r="5236" s="2" customFormat="1" spans="1:10">
      <c r="A5236" s="6">
        <f>5234</f>
        <v>5234</v>
      </c>
      <c r="B5236" s="6" t="s">
        <v>13510</v>
      </c>
      <c r="C5236" s="6" t="s">
        <v>12</v>
      </c>
      <c r="D5236" s="6" t="s">
        <v>13005</v>
      </c>
      <c r="E5236" s="6" t="s">
        <v>13445</v>
      </c>
      <c r="F5236" s="6" t="s">
        <v>13511</v>
      </c>
      <c r="G5236" s="6" t="s">
        <v>16</v>
      </c>
      <c r="H5236" s="5">
        <v>1</v>
      </c>
      <c r="I5236" s="6" t="s">
        <v>13511</v>
      </c>
      <c r="J5236" s="5">
        <v>508</v>
      </c>
    </row>
    <row r="5237" s="2" customFormat="1" spans="1:10">
      <c r="A5237" s="6">
        <f>5235</f>
        <v>5235</v>
      </c>
      <c r="B5237" s="6" t="s">
        <v>13512</v>
      </c>
      <c r="C5237" s="6" t="s">
        <v>12</v>
      </c>
      <c r="D5237" s="6" t="s">
        <v>13005</v>
      </c>
      <c r="E5237" s="6" t="s">
        <v>13445</v>
      </c>
      <c r="F5237" s="6" t="s">
        <v>13513</v>
      </c>
      <c r="G5237" s="6" t="s">
        <v>16</v>
      </c>
      <c r="H5237" s="5">
        <v>3</v>
      </c>
      <c r="I5237" s="6" t="s">
        <v>13514</v>
      </c>
      <c r="J5237" s="5">
        <v>828</v>
      </c>
    </row>
    <row r="5238" s="2" customFormat="1" spans="1:10">
      <c r="A5238" s="6">
        <f>5236</f>
        <v>5236</v>
      </c>
      <c r="B5238" s="6" t="s">
        <v>13515</v>
      </c>
      <c r="C5238" s="6" t="s">
        <v>12</v>
      </c>
      <c r="D5238" s="6" t="s">
        <v>13005</v>
      </c>
      <c r="E5238" s="6" t="s">
        <v>13445</v>
      </c>
      <c r="F5238" s="6" t="s">
        <v>13516</v>
      </c>
      <c r="G5238" s="6" t="s">
        <v>16</v>
      </c>
      <c r="H5238" s="5">
        <v>2</v>
      </c>
      <c r="I5238" s="6" t="s">
        <v>13517</v>
      </c>
      <c r="J5238" s="5">
        <v>612</v>
      </c>
    </row>
    <row r="5239" s="2" customFormat="1" ht="27" spans="1:10">
      <c r="A5239" s="6">
        <f>5237</f>
        <v>5237</v>
      </c>
      <c r="B5239" s="6" t="s">
        <v>13518</v>
      </c>
      <c r="C5239" s="6" t="s">
        <v>12</v>
      </c>
      <c r="D5239" s="6" t="s">
        <v>13005</v>
      </c>
      <c r="E5239" s="6" t="s">
        <v>13445</v>
      </c>
      <c r="F5239" s="6" t="s">
        <v>13519</v>
      </c>
      <c r="G5239" s="6" t="s">
        <v>16</v>
      </c>
      <c r="H5239" s="5">
        <v>5</v>
      </c>
      <c r="I5239" s="6" t="s">
        <v>13520</v>
      </c>
      <c r="J5239" s="5">
        <v>700</v>
      </c>
    </row>
    <row r="5240" s="2" customFormat="1" spans="1:10">
      <c r="A5240" s="6">
        <f>5238</f>
        <v>5238</v>
      </c>
      <c r="B5240" s="6" t="s">
        <v>13521</v>
      </c>
      <c r="C5240" s="6" t="s">
        <v>12</v>
      </c>
      <c r="D5240" s="6" t="s">
        <v>13005</v>
      </c>
      <c r="E5240" s="6" t="s">
        <v>13445</v>
      </c>
      <c r="F5240" s="6" t="s">
        <v>13522</v>
      </c>
      <c r="G5240" s="6" t="s">
        <v>16</v>
      </c>
      <c r="H5240" s="5">
        <v>2</v>
      </c>
      <c r="I5240" s="6" t="s">
        <v>13523</v>
      </c>
      <c r="J5240" s="5">
        <v>666</v>
      </c>
    </row>
    <row r="5241" s="2" customFormat="1" ht="27" spans="1:10">
      <c r="A5241" s="6">
        <f>5239</f>
        <v>5239</v>
      </c>
      <c r="B5241" s="6" t="s">
        <v>13524</v>
      </c>
      <c r="C5241" s="6" t="s">
        <v>12</v>
      </c>
      <c r="D5241" s="6" t="s">
        <v>13005</v>
      </c>
      <c r="E5241" s="6" t="s">
        <v>13445</v>
      </c>
      <c r="F5241" s="6" t="s">
        <v>13525</v>
      </c>
      <c r="G5241" s="6" t="s">
        <v>16</v>
      </c>
      <c r="H5241" s="5">
        <v>6</v>
      </c>
      <c r="I5241" s="6" t="s">
        <v>13526</v>
      </c>
      <c r="J5241" s="5">
        <v>1129</v>
      </c>
    </row>
    <row r="5242" s="2" customFormat="1" spans="1:10">
      <c r="A5242" s="6">
        <f>5240</f>
        <v>5240</v>
      </c>
      <c r="B5242" s="6" t="s">
        <v>13527</v>
      </c>
      <c r="C5242" s="6" t="s">
        <v>12</v>
      </c>
      <c r="D5242" s="6" t="s">
        <v>13005</v>
      </c>
      <c r="E5242" s="6" t="s">
        <v>13445</v>
      </c>
      <c r="F5242" s="6" t="s">
        <v>13528</v>
      </c>
      <c r="G5242" s="6" t="s">
        <v>16</v>
      </c>
      <c r="H5242" s="5">
        <v>3</v>
      </c>
      <c r="I5242" s="6" t="s">
        <v>13529</v>
      </c>
      <c r="J5242" s="5">
        <v>1079</v>
      </c>
    </row>
    <row r="5243" s="2" customFormat="1" spans="1:10">
      <c r="A5243" s="6">
        <f>5241</f>
        <v>5241</v>
      </c>
      <c r="B5243" s="6" t="s">
        <v>13530</v>
      </c>
      <c r="C5243" s="6" t="s">
        <v>12</v>
      </c>
      <c r="D5243" s="6" t="s">
        <v>13005</v>
      </c>
      <c r="E5243" s="6" t="s">
        <v>13445</v>
      </c>
      <c r="F5243" s="6" t="s">
        <v>13531</v>
      </c>
      <c r="G5243" s="6" t="s">
        <v>16</v>
      </c>
      <c r="H5243" s="5">
        <v>2</v>
      </c>
      <c r="I5243" s="6" t="s">
        <v>13532</v>
      </c>
      <c r="J5243" s="5">
        <v>620</v>
      </c>
    </row>
    <row r="5244" s="2" customFormat="1" ht="27" spans="1:10">
      <c r="A5244" s="6">
        <f>5242</f>
        <v>5242</v>
      </c>
      <c r="B5244" s="6" t="s">
        <v>13533</v>
      </c>
      <c r="C5244" s="6" t="s">
        <v>12</v>
      </c>
      <c r="D5244" s="6" t="s">
        <v>13005</v>
      </c>
      <c r="E5244" s="6" t="s">
        <v>13445</v>
      </c>
      <c r="F5244" s="6" t="s">
        <v>960</v>
      </c>
      <c r="G5244" s="6" t="s">
        <v>16</v>
      </c>
      <c r="H5244" s="5">
        <v>4</v>
      </c>
      <c r="I5244" s="6" t="s">
        <v>13534</v>
      </c>
      <c r="J5244" s="5">
        <v>790</v>
      </c>
    </row>
    <row r="5245" s="2" customFormat="1" spans="1:10">
      <c r="A5245" s="6">
        <f>5243</f>
        <v>5243</v>
      </c>
      <c r="B5245" s="6" t="s">
        <v>13535</v>
      </c>
      <c r="C5245" s="6" t="s">
        <v>12</v>
      </c>
      <c r="D5245" s="6" t="s">
        <v>13005</v>
      </c>
      <c r="E5245" s="6" t="s">
        <v>13445</v>
      </c>
      <c r="F5245" s="6" t="s">
        <v>13536</v>
      </c>
      <c r="G5245" s="6" t="s">
        <v>16</v>
      </c>
      <c r="H5245" s="5">
        <v>1</v>
      </c>
      <c r="I5245" s="6" t="s">
        <v>13536</v>
      </c>
      <c r="J5245" s="5">
        <v>283</v>
      </c>
    </row>
    <row r="5246" s="2" customFormat="1" spans="1:10">
      <c r="A5246" s="6">
        <f>5244</f>
        <v>5244</v>
      </c>
      <c r="B5246" s="6" t="s">
        <v>13537</v>
      </c>
      <c r="C5246" s="6" t="s">
        <v>12</v>
      </c>
      <c r="D5246" s="6" t="s">
        <v>13005</v>
      </c>
      <c r="E5246" s="6" t="s">
        <v>13445</v>
      </c>
      <c r="F5246" s="6" t="s">
        <v>13538</v>
      </c>
      <c r="G5246" s="6" t="s">
        <v>16</v>
      </c>
      <c r="H5246" s="5">
        <v>2</v>
      </c>
      <c r="I5246" s="6" t="s">
        <v>13539</v>
      </c>
      <c r="J5246" s="5">
        <v>611</v>
      </c>
    </row>
    <row r="5247" s="2" customFormat="1" spans="1:10">
      <c r="A5247" s="6">
        <f>5245</f>
        <v>5245</v>
      </c>
      <c r="B5247" s="6" t="s">
        <v>13540</v>
      </c>
      <c r="C5247" s="6" t="s">
        <v>12</v>
      </c>
      <c r="D5247" s="6" t="s">
        <v>13005</v>
      </c>
      <c r="E5247" s="6" t="s">
        <v>13445</v>
      </c>
      <c r="F5247" s="6" t="s">
        <v>13541</v>
      </c>
      <c r="G5247" s="6" t="s">
        <v>16</v>
      </c>
      <c r="H5247" s="5">
        <v>2</v>
      </c>
      <c r="I5247" s="6" t="s">
        <v>13542</v>
      </c>
      <c r="J5247" s="5">
        <v>514</v>
      </c>
    </row>
    <row r="5248" s="2" customFormat="1" spans="1:10">
      <c r="A5248" s="6">
        <f>5246</f>
        <v>5246</v>
      </c>
      <c r="B5248" s="6" t="s">
        <v>13543</v>
      </c>
      <c r="C5248" s="6" t="s">
        <v>12</v>
      </c>
      <c r="D5248" s="6" t="s">
        <v>13005</v>
      </c>
      <c r="E5248" s="6" t="s">
        <v>13445</v>
      </c>
      <c r="F5248" s="6" t="s">
        <v>13544</v>
      </c>
      <c r="G5248" s="6" t="s">
        <v>16</v>
      </c>
      <c r="H5248" s="5">
        <v>2</v>
      </c>
      <c r="I5248" s="6" t="s">
        <v>13545</v>
      </c>
      <c r="J5248" s="5">
        <v>532</v>
      </c>
    </row>
    <row r="5249" s="2" customFormat="1" spans="1:10">
      <c r="A5249" s="6">
        <f>5247</f>
        <v>5247</v>
      </c>
      <c r="B5249" s="6" t="s">
        <v>13546</v>
      </c>
      <c r="C5249" s="6" t="s">
        <v>12</v>
      </c>
      <c r="D5249" s="6" t="s">
        <v>13005</v>
      </c>
      <c r="E5249" s="6" t="s">
        <v>13445</v>
      </c>
      <c r="F5249" s="6" t="s">
        <v>13547</v>
      </c>
      <c r="G5249" s="6" t="s">
        <v>16</v>
      </c>
      <c r="H5249" s="5">
        <v>1</v>
      </c>
      <c r="I5249" s="6" t="s">
        <v>13547</v>
      </c>
      <c r="J5249" s="5">
        <v>494</v>
      </c>
    </row>
    <row r="5250" s="2" customFormat="1" spans="1:10">
      <c r="A5250" s="6">
        <f>5248</f>
        <v>5248</v>
      </c>
      <c r="B5250" s="6" t="s">
        <v>13548</v>
      </c>
      <c r="C5250" s="6" t="s">
        <v>12</v>
      </c>
      <c r="D5250" s="6" t="s">
        <v>13005</v>
      </c>
      <c r="E5250" s="6" t="s">
        <v>13445</v>
      </c>
      <c r="F5250" s="6" t="s">
        <v>13549</v>
      </c>
      <c r="G5250" s="6" t="s">
        <v>16</v>
      </c>
      <c r="H5250" s="5">
        <v>2</v>
      </c>
      <c r="I5250" s="6" t="s">
        <v>13550</v>
      </c>
      <c r="J5250" s="5">
        <v>576</v>
      </c>
    </row>
    <row r="5251" s="2" customFormat="1" spans="1:10">
      <c r="A5251" s="6">
        <f>5249</f>
        <v>5249</v>
      </c>
      <c r="B5251" s="6" t="s">
        <v>13551</v>
      </c>
      <c r="C5251" s="6" t="s">
        <v>12</v>
      </c>
      <c r="D5251" s="6" t="s">
        <v>13005</v>
      </c>
      <c r="E5251" s="6" t="s">
        <v>13445</v>
      </c>
      <c r="F5251" s="6" t="s">
        <v>13552</v>
      </c>
      <c r="G5251" s="6" t="s">
        <v>16</v>
      </c>
      <c r="H5251" s="5">
        <v>1</v>
      </c>
      <c r="I5251" s="6" t="s">
        <v>13552</v>
      </c>
      <c r="J5251" s="5">
        <v>270</v>
      </c>
    </row>
    <row r="5252" s="2" customFormat="1" spans="1:10">
      <c r="A5252" s="6">
        <f>5250</f>
        <v>5250</v>
      </c>
      <c r="B5252" s="6" t="s">
        <v>13553</v>
      </c>
      <c r="C5252" s="6" t="s">
        <v>12</v>
      </c>
      <c r="D5252" s="6" t="s">
        <v>13005</v>
      </c>
      <c r="E5252" s="6" t="s">
        <v>13445</v>
      </c>
      <c r="F5252" s="6" t="s">
        <v>13554</v>
      </c>
      <c r="G5252" s="6" t="s">
        <v>16</v>
      </c>
      <c r="H5252" s="5">
        <v>2</v>
      </c>
      <c r="I5252" s="6" t="s">
        <v>13555</v>
      </c>
      <c r="J5252" s="5">
        <v>590</v>
      </c>
    </row>
    <row r="5253" s="2" customFormat="1" ht="27" spans="1:10">
      <c r="A5253" s="6">
        <f>5251</f>
        <v>5251</v>
      </c>
      <c r="B5253" s="6" t="s">
        <v>13556</v>
      </c>
      <c r="C5253" s="6" t="s">
        <v>12</v>
      </c>
      <c r="D5253" s="6" t="s">
        <v>13005</v>
      </c>
      <c r="E5253" s="6" t="s">
        <v>13445</v>
      </c>
      <c r="F5253" s="6" t="s">
        <v>13557</v>
      </c>
      <c r="G5253" s="6" t="s">
        <v>16</v>
      </c>
      <c r="H5253" s="5">
        <v>4</v>
      </c>
      <c r="I5253" s="6" t="s">
        <v>13558</v>
      </c>
      <c r="J5253" s="5">
        <v>900</v>
      </c>
    </row>
    <row r="5254" s="2" customFormat="1" spans="1:10">
      <c r="A5254" s="6">
        <f>5252</f>
        <v>5252</v>
      </c>
      <c r="B5254" s="6" t="s">
        <v>13559</v>
      </c>
      <c r="C5254" s="6" t="s">
        <v>12</v>
      </c>
      <c r="D5254" s="6" t="s">
        <v>13005</v>
      </c>
      <c r="E5254" s="6" t="s">
        <v>13445</v>
      </c>
      <c r="F5254" s="6" t="s">
        <v>13560</v>
      </c>
      <c r="G5254" s="6" t="s">
        <v>16</v>
      </c>
      <c r="H5254" s="5">
        <v>2</v>
      </c>
      <c r="I5254" s="6" t="s">
        <v>13561</v>
      </c>
      <c r="J5254" s="5">
        <v>595</v>
      </c>
    </row>
    <row r="5255" s="2" customFormat="1" ht="27" spans="1:10">
      <c r="A5255" s="6">
        <f>5253</f>
        <v>5253</v>
      </c>
      <c r="B5255" s="6" t="s">
        <v>13562</v>
      </c>
      <c r="C5255" s="6" t="s">
        <v>12</v>
      </c>
      <c r="D5255" s="6" t="s">
        <v>13005</v>
      </c>
      <c r="E5255" s="6" t="s">
        <v>13445</v>
      </c>
      <c r="F5255" s="6" t="s">
        <v>13563</v>
      </c>
      <c r="G5255" s="6" t="s">
        <v>16</v>
      </c>
      <c r="H5255" s="5">
        <v>4</v>
      </c>
      <c r="I5255" s="6" t="s">
        <v>13564</v>
      </c>
      <c r="J5255" s="5">
        <v>1040</v>
      </c>
    </row>
    <row r="5256" s="2" customFormat="1" ht="27" spans="1:10">
      <c r="A5256" s="6">
        <f>5254</f>
        <v>5254</v>
      </c>
      <c r="B5256" s="6" t="s">
        <v>13565</v>
      </c>
      <c r="C5256" s="6" t="s">
        <v>12</v>
      </c>
      <c r="D5256" s="6" t="s">
        <v>13005</v>
      </c>
      <c r="E5256" s="6" t="s">
        <v>13445</v>
      </c>
      <c r="F5256" s="6" t="s">
        <v>13566</v>
      </c>
      <c r="G5256" s="6" t="s">
        <v>16</v>
      </c>
      <c r="H5256" s="5">
        <v>5</v>
      </c>
      <c r="I5256" s="6" t="s">
        <v>13567</v>
      </c>
      <c r="J5256" s="5">
        <v>1024</v>
      </c>
    </row>
    <row r="5257" s="2" customFormat="1" ht="27" spans="1:10">
      <c r="A5257" s="6">
        <f>5255</f>
        <v>5255</v>
      </c>
      <c r="B5257" s="6" t="s">
        <v>13568</v>
      </c>
      <c r="C5257" s="6" t="s">
        <v>12</v>
      </c>
      <c r="D5257" s="6" t="s">
        <v>13005</v>
      </c>
      <c r="E5257" s="6" t="s">
        <v>13445</v>
      </c>
      <c r="F5257" s="6" t="s">
        <v>13569</v>
      </c>
      <c r="G5257" s="6" t="s">
        <v>16</v>
      </c>
      <c r="H5257" s="5">
        <v>4</v>
      </c>
      <c r="I5257" s="6" t="s">
        <v>13570</v>
      </c>
      <c r="J5257" s="5">
        <v>954</v>
      </c>
    </row>
    <row r="5258" s="2" customFormat="1" ht="27" spans="1:10">
      <c r="A5258" s="6">
        <f>5256</f>
        <v>5256</v>
      </c>
      <c r="B5258" s="6" t="s">
        <v>13571</v>
      </c>
      <c r="C5258" s="6" t="s">
        <v>12</v>
      </c>
      <c r="D5258" s="6" t="s">
        <v>13005</v>
      </c>
      <c r="E5258" s="6" t="s">
        <v>13445</v>
      </c>
      <c r="F5258" s="6" t="s">
        <v>13572</v>
      </c>
      <c r="G5258" s="6" t="s">
        <v>16</v>
      </c>
      <c r="H5258" s="5">
        <v>4</v>
      </c>
      <c r="I5258" s="6" t="s">
        <v>13573</v>
      </c>
      <c r="J5258" s="5">
        <v>1090</v>
      </c>
    </row>
    <row r="5259" s="2" customFormat="1" spans="1:10">
      <c r="A5259" s="6">
        <f>5257</f>
        <v>5257</v>
      </c>
      <c r="B5259" s="6" t="s">
        <v>13574</v>
      </c>
      <c r="C5259" s="6" t="s">
        <v>12</v>
      </c>
      <c r="D5259" s="6" t="s">
        <v>13005</v>
      </c>
      <c r="E5259" s="6" t="s">
        <v>13445</v>
      </c>
      <c r="F5259" s="6" t="s">
        <v>13575</v>
      </c>
      <c r="G5259" s="6" t="s">
        <v>16</v>
      </c>
      <c r="H5259" s="5">
        <v>3</v>
      </c>
      <c r="I5259" s="6" t="s">
        <v>13576</v>
      </c>
      <c r="J5259" s="5">
        <v>714</v>
      </c>
    </row>
    <row r="5260" s="2" customFormat="1" ht="40.5" spans="1:10">
      <c r="A5260" s="6">
        <f>5258</f>
        <v>5258</v>
      </c>
      <c r="B5260" s="6" t="s">
        <v>13577</v>
      </c>
      <c r="C5260" s="6" t="s">
        <v>12</v>
      </c>
      <c r="D5260" s="6" t="s">
        <v>13005</v>
      </c>
      <c r="E5260" s="6" t="s">
        <v>13445</v>
      </c>
      <c r="F5260" s="6" t="s">
        <v>13578</v>
      </c>
      <c r="G5260" s="6" t="s">
        <v>16</v>
      </c>
      <c r="H5260" s="5">
        <v>7</v>
      </c>
      <c r="I5260" s="6" t="s">
        <v>13579</v>
      </c>
      <c r="J5260" s="5">
        <v>1220</v>
      </c>
    </row>
    <row r="5261" s="2" customFormat="1" ht="27" spans="1:10">
      <c r="A5261" s="6">
        <f>5259</f>
        <v>5259</v>
      </c>
      <c r="B5261" s="6" t="s">
        <v>13580</v>
      </c>
      <c r="C5261" s="6" t="s">
        <v>12</v>
      </c>
      <c r="D5261" s="6" t="s">
        <v>13005</v>
      </c>
      <c r="E5261" s="6" t="s">
        <v>13445</v>
      </c>
      <c r="F5261" s="6" t="s">
        <v>13581</v>
      </c>
      <c r="G5261" s="6" t="s">
        <v>16</v>
      </c>
      <c r="H5261" s="5">
        <v>5</v>
      </c>
      <c r="I5261" s="6" t="s">
        <v>13582</v>
      </c>
      <c r="J5261" s="5">
        <v>1075</v>
      </c>
    </row>
    <row r="5262" s="2" customFormat="1" spans="1:10">
      <c r="A5262" s="6">
        <f>5260</f>
        <v>5260</v>
      </c>
      <c r="B5262" s="6" t="s">
        <v>13583</v>
      </c>
      <c r="C5262" s="6" t="s">
        <v>12</v>
      </c>
      <c r="D5262" s="6" t="s">
        <v>13005</v>
      </c>
      <c r="E5262" s="6" t="s">
        <v>13445</v>
      </c>
      <c r="F5262" s="6" t="s">
        <v>13584</v>
      </c>
      <c r="G5262" s="6" t="s">
        <v>16</v>
      </c>
      <c r="H5262" s="5">
        <v>1</v>
      </c>
      <c r="I5262" s="6" t="s">
        <v>13584</v>
      </c>
      <c r="J5262" s="5">
        <v>275</v>
      </c>
    </row>
    <row r="5263" s="2" customFormat="1" spans="1:10">
      <c r="A5263" s="6">
        <f>5261</f>
        <v>5261</v>
      </c>
      <c r="B5263" s="6" t="s">
        <v>13585</v>
      </c>
      <c r="C5263" s="6" t="s">
        <v>12</v>
      </c>
      <c r="D5263" s="6" t="s">
        <v>13005</v>
      </c>
      <c r="E5263" s="6" t="s">
        <v>13445</v>
      </c>
      <c r="F5263" s="6" t="s">
        <v>13586</v>
      </c>
      <c r="G5263" s="6" t="s">
        <v>16</v>
      </c>
      <c r="H5263" s="5">
        <v>2</v>
      </c>
      <c r="I5263" s="6" t="s">
        <v>13587</v>
      </c>
      <c r="J5263" s="5">
        <v>510</v>
      </c>
    </row>
    <row r="5264" s="2" customFormat="1" ht="27" spans="1:10">
      <c r="A5264" s="6">
        <f>5262</f>
        <v>5262</v>
      </c>
      <c r="B5264" s="6" t="s">
        <v>13588</v>
      </c>
      <c r="C5264" s="6" t="s">
        <v>12</v>
      </c>
      <c r="D5264" s="6" t="s">
        <v>13005</v>
      </c>
      <c r="E5264" s="6" t="s">
        <v>13445</v>
      </c>
      <c r="F5264" s="6" t="s">
        <v>13589</v>
      </c>
      <c r="G5264" s="6" t="s">
        <v>16</v>
      </c>
      <c r="H5264" s="5">
        <v>5</v>
      </c>
      <c r="I5264" s="6" t="s">
        <v>13590</v>
      </c>
      <c r="J5264" s="5">
        <v>964</v>
      </c>
    </row>
    <row r="5265" s="2" customFormat="1" spans="1:10">
      <c r="A5265" s="6">
        <f>5263</f>
        <v>5263</v>
      </c>
      <c r="B5265" s="6" t="s">
        <v>13591</v>
      </c>
      <c r="C5265" s="6" t="s">
        <v>12</v>
      </c>
      <c r="D5265" s="6" t="s">
        <v>13005</v>
      </c>
      <c r="E5265" s="6" t="s">
        <v>13445</v>
      </c>
      <c r="F5265" s="6" t="s">
        <v>13592</v>
      </c>
      <c r="G5265" s="6" t="s">
        <v>16</v>
      </c>
      <c r="H5265" s="5">
        <v>2</v>
      </c>
      <c r="I5265" s="6" t="s">
        <v>13593</v>
      </c>
      <c r="J5265" s="5">
        <v>586</v>
      </c>
    </row>
    <row r="5266" s="2" customFormat="1" spans="1:10">
      <c r="A5266" s="6">
        <f>5264</f>
        <v>5264</v>
      </c>
      <c r="B5266" s="6" t="s">
        <v>13594</v>
      </c>
      <c r="C5266" s="6" t="s">
        <v>12</v>
      </c>
      <c r="D5266" s="6" t="s">
        <v>13005</v>
      </c>
      <c r="E5266" s="6" t="s">
        <v>13445</v>
      </c>
      <c r="F5266" s="6" t="s">
        <v>13595</v>
      </c>
      <c r="G5266" s="6" t="s">
        <v>16</v>
      </c>
      <c r="H5266" s="5">
        <v>2</v>
      </c>
      <c r="I5266" s="6" t="s">
        <v>13596</v>
      </c>
      <c r="J5266" s="5">
        <v>686</v>
      </c>
    </row>
    <row r="5267" s="2" customFormat="1" ht="27" spans="1:10">
      <c r="A5267" s="6">
        <f>5265</f>
        <v>5265</v>
      </c>
      <c r="B5267" s="6" t="s">
        <v>13597</v>
      </c>
      <c r="C5267" s="6" t="s">
        <v>12</v>
      </c>
      <c r="D5267" s="6" t="s">
        <v>13005</v>
      </c>
      <c r="E5267" s="6" t="s">
        <v>13445</v>
      </c>
      <c r="F5267" s="6" t="s">
        <v>13598</v>
      </c>
      <c r="G5267" s="6" t="s">
        <v>16</v>
      </c>
      <c r="H5267" s="5">
        <v>5</v>
      </c>
      <c r="I5267" s="6" t="s">
        <v>13599</v>
      </c>
      <c r="J5267" s="5">
        <v>1115</v>
      </c>
    </row>
    <row r="5268" s="2" customFormat="1" spans="1:10">
      <c r="A5268" s="6">
        <f>5266</f>
        <v>5266</v>
      </c>
      <c r="B5268" s="6" t="s">
        <v>13600</v>
      </c>
      <c r="C5268" s="6" t="s">
        <v>12</v>
      </c>
      <c r="D5268" s="6" t="s">
        <v>13005</v>
      </c>
      <c r="E5268" s="6" t="s">
        <v>13445</v>
      </c>
      <c r="F5268" s="6" t="s">
        <v>13601</v>
      </c>
      <c r="G5268" s="6" t="s">
        <v>16</v>
      </c>
      <c r="H5268" s="5">
        <v>2</v>
      </c>
      <c r="I5268" s="6" t="s">
        <v>13602</v>
      </c>
      <c r="J5268" s="5">
        <v>680</v>
      </c>
    </row>
    <row r="5269" s="2" customFormat="1" spans="1:10">
      <c r="A5269" s="6">
        <f>5267</f>
        <v>5267</v>
      </c>
      <c r="B5269" s="6" t="s">
        <v>13603</v>
      </c>
      <c r="C5269" s="6" t="s">
        <v>12</v>
      </c>
      <c r="D5269" s="6" t="s">
        <v>13005</v>
      </c>
      <c r="E5269" s="6" t="s">
        <v>13445</v>
      </c>
      <c r="F5269" s="6" t="s">
        <v>13604</v>
      </c>
      <c r="G5269" s="6" t="s">
        <v>16</v>
      </c>
      <c r="H5269" s="5">
        <v>2</v>
      </c>
      <c r="I5269" s="6" t="s">
        <v>13605</v>
      </c>
      <c r="J5269" s="5">
        <v>522</v>
      </c>
    </row>
    <row r="5270" s="2" customFormat="1" ht="27" spans="1:10">
      <c r="A5270" s="6">
        <f>5268</f>
        <v>5268</v>
      </c>
      <c r="B5270" s="6" t="s">
        <v>13606</v>
      </c>
      <c r="C5270" s="6" t="s">
        <v>12</v>
      </c>
      <c r="D5270" s="6" t="s">
        <v>13005</v>
      </c>
      <c r="E5270" s="6" t="s">
        <v>13445</v>
      </c>
      <c r="F5270" s="6" t="s">
        <v>13607</v>
      </c>
      <c r="G5270" s="6" t="s">
        <v>16</v>
      </c>
      <c r="H5270" s="5">
        <v>4</v>
      </c>
      <c r="I5270" s="6" t="s">
        <v>13608</v>
      </c>
      <c r="J5270" s="5">
        <v>903</v>
      </c>
    </row>
    <row r="5271" s="2" customFormat="1" spans="1:10">
      <c r="A5271" s="6">
        <f>5269</f>
        <v>5269</v>
      </c>
      <c r="B5271" s="6" t="s">
        <v>13609</v>
      </c>
      <c r="C5271" s="6" t="s">
        <v>12</v>
      </c>
      <c r="D5271" s="6" t="s">
        <v>13005</v>
      </c>
      <c r="E5271" s="6" t="s">
        <v>13445</v>
      </c>
      <c r="F5271" s="6" t="s">
        <v>13610</v>
      </c>
      <c r="G5271" s="6" t="s">
        <v>16</v>
      </c>
      <c r="H5271" s="5">
        <v>3</v>
      </c>
      <c r="I5271" s="6" t="s">
        <v>13611</v>
      </c>
      <c r="J5271" s="5">
        <v>620</v>
      </c>
    </row>
    <row r="5272" s="2" customFormat="1" spans="1:10">
      <c r="A5272" s="6">
        <f>5270</f>
        <v>5270</v>
      </c>
      <c r="B5272" s="6" t="s">
        <v>13612</v>
      </c>
      <c r="C5272" s="6" t="s">
        <v>12</v>
      </c>
      <c r="D5272" s="6" t="s">
        <v>13005</v>
      </c>
      <c r="E5272" s="6" t="s">
        <v>13445</v>
      </c>
      <c r="F5272" s="6" t="s">
        <v>13613</v>
      </c>
      <c r="G5272" s="6" t="s">
        <v>16</v>
      </c>
      <c r="H5272" s="5">
        <v>1</v>
      </c>
      <c r="I5272" s="6" t="s">
        <v>13613</v>
      </c>
      <c r="J5272" s="5">
        <v>510</v>
      </c>
    </row>
    <row r="5273" s="2" customFormat="1" spans="1:10">
      <c r="A5273" s="6">
        <f>5271</f>
        <v>5271</v>
      </c>
      <c r="B5273" s="6" t="s">
        <v>13614</v>
      </c>
      <c r="C5273" s="6" t="s">
        <v>12</v>
      </c>
      <c r="D5273" s="6" t="s">
        <v>13005</v>
      </c>
      <c r="E5273" s="6" t="s">
        <v>13445</v>
      </c>
      <c r="F5273" s="6" t="s">
        <v>13615</v>
      </c>
      <c r="G5273" s="6" t="s">
        <v>16</v>
      </c>
      <c r="H5273" s="5">
        <v>1</v>
      </c>
      <c r="I5273" s="6" t="s">
        <v>13615</v>
      </c>
      <c r="J5273" s="5">
        <v>620</v>
      </c>
    </row>
    <row r="5274" s="2" customFormat="1" spans="1:10">
      <c r="A5274" s="6">
        <f>5272</f>
        <v>5272</v>
      </c>
      <c r="B5274" s="6" t="s">
        <v>13616</v>
      </c>
      <c r="C5274" s="6" t="s">
        <v>12</v>
      </c>
      <c r="D5274" s="6" t="s">
        <v>13005</v>
      </c>
      <c r="E5274" s="6" t="s">
        <v>13445</v>
      </c>
      <c r="F5274" s="6" t="s">
        <v>13617</v>
      </c>
      <c r="G5274" s="6" t="s">
        <v>16</v>
      </c>
      <c r="H5274" s="5">
        <v>1</v>
      </c>
      <c r="I5274" s="6" t="s">
        <v>13617</v>
      </c>
      <c r="J5274" s="5">
        <v>360</v>
      </c>
    </row>
    <row r="5275" s="2" customFormat="1" spans="1:10">
      <c r="A5275" s="6">
        <f>5273</f>
        <v>5273</v>
      </c>
      <c r="B5275" s="6" t="s">
        <v>13618</v>
      </c>
      <c r="C5275" s="6" t="s">
        <v>12</v>
      </c>
      <c r="D5275" s="6" t="s">
        <v>13005</v>
      </c>
      <c r="E5275" s="6" t="s">
        <v>13445</v>
      </c>
      <c r="F5275" s="6" t="s">
        <v>13619</v>
      </c>
      <c r="G5275" s="6" t="s">
        <v>16</v>
      </c>
      <c r="H5275" s="5">
        <v>2</v>
      </c>
      <c r="I5275" s="6" t="s">
        <v>13620</v>
      </c>
      <c r="J5275" s="5">
        <v>554</v>
      </c>
    </row>
    <row r="5276" s="2" customFormat="1" spans="1:10">
      <c r="A5276" s="6">
        <f>5274</f>
        <v>5274</v>
      </c>
      <c r="B5276" s="6" t="s">
        <v>13621</v>
      </c>
      <c r="C5276" s="6" t="s">
        <v>12</v>
      </c>
      <c r="D5276" s="6" t="s">
        <v>13005</v>
      </c>
      <c r="E5276" s="6" t="s">
        <v>13445</v>
      </c>
      <c r="F5276" s="6" t="s">
        <v>13622</v>
      </c>
      <c r="G5276" s="6" t="s">
        <v>16</v>
      </c>
      <c r="H5276" s="5">
        <v>1</v>
      </c>
      <c r="I5276" s="6" t="s">
        <v>13622</v>
      </c>
      <c r="J5276" s="5">
        <v>620</v>
      </c>
    </row>
    <row r="5277" s="2" customFormat="1" spans="1:10">
      <c r="A5277" s="6">
        <f>5275</f>
        <v>5275</v>
      </c>
      <c r="B5277" s="6" t="s">
        <v>13623</v>
      </c>
      <c r="C5277" s="6" t="s">
        <v>12</v>
      </c>
      <c r="D5277" s="6" t="s">
        <v>13005</v>
      </c>
      <c r="E5277" s="6" t="s">
        <v>13624</v>
      </c>
      <c r="F5277" s="6" t="s">
        <v>13625</v>
      </c>
      <c r="G5277" s="6" t="s">
        <v>16</v>
      </c>
      <c r="H5277" s="5">
        <v>2</v>
      </c>
      <c r="I5277" s="6" t="s">
        <v>13626</v>
      </c>
      <c r="J5277" s="5">
        <v>580</v>
      </c>
    </row>
    <row r="5278" s="2" customFormat="1" spans="1:10">
      <c r="A5278" s="6">
        <f>5276</f>
        <v>5276</v>
      </c>
      <c r="B5278" s="6" t="s">
        <v>13627</v>
      </c>
      <c r="C5278" s="6" t="s">
        <v>12</v>
      </c>
      <c r="D5278" s="6" t="s">
        <v>13005</v>
      </c>
      <c r="E5278" s="6" t="s">
        <v>13624</v>
      </c>
      <c r="F5278" s="6" t="s">
        <v>13628</v>
      </c>
      <c r="G5278" s="6" t="s">
        <v>16</v>
      </c>
      <c r="H5278" s="5">
        <v>1</v>
      </c>
      <c r="I5278" s="6" t="s">
        <v>13628</v>
      </c>
      <c r="J5278" s="5">
        <v>280</v>
      </c>
    </row>
    <row r="5279" s="2" customFormat="1" ht="27" spans="1:10">
      <c r="A5279" s="6">
        <f>5277</f>
        <v>5277</v>
      </c>
      <c r="B5279" s="6" t="s">
        <v>13629</v>
      </c>
      <c r="C5279" s="6" t="s">
        <v>12</v>
      </c>
      <c r="D5279" s="6" t="s">
        <v>13005</v>
      </c>
      <c r="E5279" s="6" t="s">
        <v>13624</v>
      </c>
      <c r="F5279" s="6" t="s">
        <v>13630</v>
      </c>
      <c r="G5279" s="6" t="s">
        <v>16</v>
      </c>
      <c r="H5279" s="5">
        <v>4</v>
      </c>
      <c r="I5279" s="6" t="s">
        <v>13631</v>
      </c>
      <c r="J5279" s="5">
        <v>720</v>
      </c>
    </row>
    <row r="5280" s="2" customFormat="1" spans="1:10">
      <c r="A5280" s="6">
        <f>5278</f>
        <v>5278</v>
      </c>
      <c r="B5280" s="6" t="s">
        <v>13632</v>
      </c>
      <c r="C5280" s="6" t="s">
        <v>12</v>
      </c>
      <c r="D5280" s="6" t="s">
        <v>13005</v>
      </c>
      <c r="E5280" s="6" t="s">
        <v>13624</v>
      </c>
      <c r="F5280" s="6" t="s">
        <v>13633</v>
      </c>
      <c r="G5280" s="6" t="s">
        <v>16</v>
      </c>
      <c r="H5280" s="5">
        <v>3</v>
      </c>
      <c r="I5280" s="6" t="s">
        <v>13634</v>
      </c>
      <c r="J5280" s="5">
        <v>810</v>
      </c>
    </row>
    <row r="5281" s="2" customFormat="1" spans="1:10">
      <c r="A5281" s="6">
        <f>5279</f>
        <v>5279</v>
      </c>
      <c r="B5281" s="6" t="s">
        <v>13635</v>
      </c>
      <c r="C5281" s="6" t="s">
        <v>12</v>
      </c>
      <c r="D5281" s="6" t="s">
        <v>13005</v>
      </c>
      <c r="E5281" s="6" t="s">
        <v>13624</v>
      </c>
      <c r="F5281" s="6" t="s">
        <v>13636</v>
      </c>
      <c r="G5281" s="6" t="s">
        <v>16</v>
      </c>
      <c r="H5281" s="5">
        <v>1</v>
      </c>
      <c r="I5281" s="6" t="s">
        <v>13636</v>
      </c>
      <c r="J5281" s="5">
        <v>480</v>
      </c>
    </row>
    <row r="5282" s="2" customFormat="1" spans="1:10">
      <c r="A5282" s="6">
        <f>5280</f>
        <v>5280</v>
      </c>
      <c r="B5282" s="6" t="s">
        <v>13637</v>
      </c>
      <c r="C5282" s="6" t="s">
        <v>12</v>
      </c>
      <c r="D5282" s="6" t="s">
        <v>13005</v>
      </c>
      <c r="E5282" s="6" t="s">
        <v>13624</v>
      </c>
      <c r="F5282" s="6" t="s">
        <v>13638</v>
      </c>
      <c r="G5282" s="6" t="s">
        <v>16</v>
      </c>
      <c r="H5282" s="5">
        <v>3</v>
      </c>
      <c r="I5282" s="6" t="s">
        <v>13639</v>
      </c>
      <c r="J5282" s="5">
        <v>980</v>
      </c>
    </row>
    <row r="5283" s="2" customFormat="1" ht="27" spans="1:10">
      <c r="A5283" s="6">
        <f>5281</f>
        <v>5281</v>
      </c>
      <c r="B5283" s="6" t="s">
        <v>13640</v>
      </c>
      <c r="C5283" s="6" t="s">
        <v>12</v>
      </c>
      <c r="D5283" s="6" t="s">
        <v>13005</v>
      </c>
      <c r="E5283" s="6" t="s">
        <v>13624</v>
      </c>
      <c r="F5283" s="6" t="s">
        <v>13641</v>
      </c>
      <c r="G5283" s="6" t="s">
        <v>16</v>
      </c>
      <c r="H5283" s="5">
        <v>4</v>
      </c>
      <c r="I5283" s="6" t="s">
        <v>13642</v>
      </c>
      <c r="J5283" s="5">
        <v>660</v>
      </c>
    </row>
    <row r="5284" s="2" customFormat="1" spans="1:10">
      <c r="A5284" s="6">
        <f>5282</f>
        <v>5282</v>
      </c>
      <c r="B5284" s="6" t="s">
        <v>13643</v>
      </c>
      <c r="C5284" s="6" t="s">
        <v>12</v>
      </c>
      <c r="D5284" s="6" t="s">
        <v>13005</v>
      </c>
      <c r="E5284" s="6" t="s">
        <v>13624</v>
      </c>
      <c r="F5284" s="6" t="s">
        <v>13644</v>
      </c>
      <c r="G5284" s="6" t="s">
        <v>16</v>
      </c>
      <c r="H5284" s="5">
        <v>3</v>
      </c>
      <c r="I5284" s="6" t="s">
        <v>13645</v>
      </c>
      <c r="J5284" s="5">
        <v>880</v>
      </c>
    </row>
    <row r="5285" s="2" customFormat="1" spans="1:10">
      <c r="A5285" s="6">
        <f>5283</f>
        <v>5283</v>
      </c>
      <c r="B5285" s="6" t="s">
        <v>13646</v>
      </c>
      <c r="C5285" s="6" t="s">
        <v>12</v>
      </c>
      <c r="D5285" s="6" t="s">
        <v>13005</v>
      </c>
      <c r="E5285" s="6" t="s">
        <v>13624</v>
      </c>
      <c r="F5285" s="6" t="s">
        <v>13647</v>
      </c>
      <c r="G5285" s="6" t="s">
        <v>16</v>
      </c>
      <c r="H5285" s="5">
        <v>1</v>
      </c>
      <c r="I5285" s="6" t="s">
        <v>13647</v>
      </c>
      <c r="J5285" s="5">
        <v>440</v>
      </c>
    </row>
    <row r="5286" s="2" customFormat="1" spans="1:10">
      <c r="A5286" s="6">
        <f>5284</f>
        <v>5284</v>
      </c>
      <c r="B5286" s="6" t="s">
        <v>13648</v>
      </c>
      <c r="C5286" s="6" t="s">
        <v>12</v>
      </c>
      <c r="D5286" s="6" t="s">
        <v>13005</v>
      </c>
      <c r="E5286" s="6" t="s">
        <v>13624</v>
      </c>
      <c r="F5286" s="6" t="s">
        <v>13649</v>
      </c>
      <c r="G5286" s="6" t="s">
        <v>16</v>
      </c>
      <c r="H5286" s="5">
        <v>3</v>
      </c>
      <c r="I5286" s="6" t="s">
        <v>13650</v>
      </c>
      <c r="J5286" s="5">
        <v>960</v>
      </c>
    </row>
    <row r="5287" s="2" customFormat="1" spans="1:10">
      <c r="A5287" s="6">
        <f>5285</f>
        <v>5285</v>
      </c>
      <c r="B5287" s="6" t="s">
        <v>13651</v>
      </c>
      <c r="C5287" s="6" t="s">
        <v>12</v>
      </c>
      <c r="D5287" s="6" t="s">
        <v>13005</v>
      </c>
      <c r="E5287" s="6" t="s">
        <v>13624</v>
      </c>
      <c r="F5287" s="6" t="s">
        <v>13652</v>
      </c>
      <c r="G5287" s="6" t="s">
        <v>16</v>
      </c>
      <c r="H5287" s="5">
        <v>3</v>
      </c>
      <c r="I5287" s="6" t="s">
        <v>13653</v>
      </c>
      <c r="J5287" s="5">
        <v>940</v>
      </c>
    </row>
    <row r="5288" s="2" customFormat="1" spans="1:10">
      <c r="A5288" s="6">
        <f>5286</f>
        <v>5286</v>
      </c>
      <c r="B5288" s="6" t="s">
        <v>13654</v>
      </c>
      <c r="C5288" s="6" t="s">
        <v>12</v>
      </c>
      <c r="D5288" s="6" t="s">
        <v>13005</v>
      </c>
      <c r="E5288" s="6" t="s">
        <v>13624</v>
      </c>
      <c r="F5288" s="6" t="s">
        <v>13655</v>
      </c>
      <c r="G5288" s="6" t="s">
        <v>16</v>
      </c>
      <c r="H5288" s="5">
        <v>2</v>
      </c>
      <c r="I5288" s="6" t="s">
        <v>13656</v>
      </c>
      <c r="J5288" s="5">
        <v>335</v>
      </c>
    </row>
    <row r="5289" s="2" customFormat="1" ht="27" spans="1:10">
      <c r="A5289" s="6">
        <f>5287</f>
        <v>5287</v>
      </c>
      <c r="B5289" s="6" t="s">
        <v>13657</v>
      </c>
      <c r="C5289" s="6" t="s">
        <v>12</v>
      </c>
      <c r="D5289" s="6" t="s">
        <v>13005</v>
      </c>
      <c r="E5289" s="6" t="s">
        <v>13624</v>
      </c>
      <c r="F5289" s="6" t="s">
        <v>13519</v>
      </c>
      <c r="G5289" s="6" t="s">
        <v>16</v>
      </c>
      <c r="H5289" s="5">
        <v>4</v>
      </c>
      <c r="I5289" s="6" t="s">
        <v>13658</v>
      </c>
      <c r="J5289" s="5">
        <v>988</v>
      </c>
    </row>
    <row r="5290" s="2" customFormat="1" ht="27" spans="1:10">
      <c r="A5290" s="6">
        <f>5288</f>
        <v>5288</v>
      </c>
      <c r="B5290" s="6" t="s">
        <v>13659</v>
      </c>
      <c r="C5290" s="6" t="s">
        <v>12</v>
      </c>
      <c r="D5290" s="6" t="s">
        <v>13005</v>
      </c>
      <c r="E5290" s="6" t="s">
        <v>13624</v>
      </c>
      <c r="F5290" s="6" t="s">
        <v>13660</v>
      </c>
      <c r="G5290" s="6" t="s">
        <v>16</v>
      </c>
      <c r="H5290" s="5">
        <v>4</v>
      </c>
      <c r="I5290" s="6" t="s">
        <v>13661</v>
      </c>
      <c r="J5290" s="5">
        <v>777</v>
      </c>
    </row>
    <row r="5291" s="2" customFormat="1" ht="27" spans="1:10">
      <c r="A5291" s="6">
        <f>5289</f>
        <v>5289</v>
      </c>
      <c r="B5291" s="6" t="s">
        <v>13662</v>
      </c>
      <c r="C5291" s="6" t="s">
        <v>12</v>
      </c>
      <c r="D5291" s="6" t="s">
        <v>13005</v>
      </c>
      <c r="E5291" s="6" t="s">
        <v>13624</v>
      </c>
      <c r="F5291" s="6" t="s">
        <v>13663</v>
      </c>
      <c r="G5291" s="6" t="s">
        <v>16</v>
      </c>
      <c r="H5291" s="5">
        <v>4</v>
      </c>
      <c r="I5291" s="6" t="s">
        <v>13664</v>
      </c>
      <c r="J5291" s="5">
        <v>675</v>
      </c>
    </row>
    <row r="5292" s="2" customFormat="1" spans="1:10">
      <c r="A5292" s="6">
        <f>5290</f>
        <v>5290</v>
      </c>
      <c r="B5292" s="6" t="s">
        <v>13665</v>
      </c>
      <c r="C5292" s="6" t="s">
        <v>12</v>
      </c>
      <c r="D5292" s="6" t="s">
        <v>13005</v>
      </c>
      <c r="E5292" s="6" t="s">
        <v>13624</v>
      </c>
      <c r="F5292" s="6" t="s">
        <v>13666</v>
      </c>
      <c r="G5292" s="6" t="s">
        <v>16</v>
      </c>
      <c r="H5292" s="5">
        <v>3</v>
      </c>
      <c r="I5292" s="6" t="s">
        <v>13667</v>
      </c>
      <c r="J5292" s="5">
        <v>741</v>
      </c>
    </row>
    <row r="5293" s="2" customFormat="1" spans="1:10">
      <c r="A5293" s="6">
        <f>5291</f>
        <v>5291</v>
      </c>
      <c r="B5293" s="6" t="s">
        <v>13668</v>
      </c>
      <c r="C5293" s="6" t="s">
        <v>12</v>
      </c>
      <c r="D5293" s="6" t="s">
        <v>13005</v>
      </c>
      <c r="E5293" s="6" t="s">
        <v>13624</v>
      </c>
      <c r="F5293" s="6" t="s">
        <v>13669</v>
      </c>
      <c r="G5293" s="6" t="s">
        <v>16</v>
      </c>
      <c r="H5293" s="5">
        <v>2</v>
      </c>
      <c r="I5293" s="6" t="s">
        <v>13670</v>
      </c>
      <c r="J5293" s="5">
        <v>526</v>
      </c>
    </row>
    <row r="5294" s="2" customFormat="1" ht="27" spans="1:10">
      <c r="A5294" s="6">
        <f>5292</f>
        <v>5292</v>
      </c>
      <c r="B5294" s="6" t="s">
        <v>13671</v>
      </c>
      <c r="C5294" s="6" t="s">
        <v>12</v>
      </c>
      <c r="D5294" s="6" t="s">
        <v>13005</v>
      </c>
      <c r="E5294" s="6" t="s">
        <v>13624</v>
      </c>
      <c r="F5294" s="6" t="s">
        <v>13672</v>
      </c>
      <c r="G5294" s="6" t="s">
        <v>16</v>
      </c>
      <c r="H5294" s="5">
        <v>5</v>
      </c>
      <c r="I5294" s="6" t="s">
        <v>13673</v>
      </c>
      <c r="J5294" s="5">
        <v>1100</v>
      </c>
    </row>
    <row r="5295" s="2" customFormat="1" ht="27" spans="1:10">
      <c r="A5295" s="6">
        <f>5293</f>
        <v>5293</v>
      </c>
      <c r="B5295" s="6" t="s">
        <v>13674</v>
      </c>
      <c r="C5295" s="6" t="s">
        <v>12</v>
      </c>
      <c r="D5295" s="6" t="s">
        <v>13005</v>
      </c>
      <c r="E5295" s="6" t="s">
        <v>13624</v>
      </c>
      <c r="F5295" s="6" t="s">
        <v>13675</v>
      </c>
      <c r="G5295" s="6" t="s">
        <v>16</v>
      </c>
      <c r="H5295" s="5">
        <v>4</v>
      </c>
      <c r="I5295" s="6" t="s">
        <v>13676</v>
      </c>
      <c r="J5295" s="5">
        <v>1008</v>
      </c>
    </row>
    <row r="5296" s="2" customFormat="1" spans="1:10">
      <c r="A5296" s="6">
        <f>5294</f>
        <v>5294</v>
      </c>
      <c r="B5296" s="6" t="s">
        <v>13677</v>
      </c>
      <c r="C5296" s="6" t="s">
        <v>12</v>
      </c>
      <c r="D5296" s="6" t="s">
        <v>13005</v>
      </c>
      <c r="E5296" s="6" t="s">
        <v>13624</v>
      </c>
      <c r="F5296" s="6" t="s">
        <v>13678</v>
      </c>
      <c r="G5296" s="6" t="s">
        <v>16</v>
      </c>
      <c r="H5296" s="5">
        <v>2</v>
      </c>
      <c r="I5296" s="6" t="s">
        <v>13679</v>
      </c>
      <c r="J5296" s="5">
        <v>580</v>
      </c>
    </row>
    <row r="5297" s="2" customFormat="1" spans="1:10">
      <c r="A5297" s="6">
        <f>5295</f>
        <v>5295</v>
      </c>
      <c r="B5297" s="6" t="s">
        <v>13680</v>
      </c>
      <c r="C5297" s="6" t="s">
        <v>12</v>
      </c>
      <c r="D5297" s="6" t="s">
        <v>13005</v>
      </c>
      <c r="E5297" s="6" t="s">
        <v>13624</v>
      </c>
      <c r="F5297" s="6" t="s">
        <v>13681</v>
      </c>
      <c r="G5297" s="6" t="s">
        <v>16</v>
      </c>
      <c r="H5297" s="5">
        <v>3</v>
      </c>
      <c r="I5297" s="6" t="s">
        <v>13682</v>
      </c>
      <c r="J5297" s="5">
        <v>741</v>
      </c>
    </row>
    <row r="5298" s="2" customFormat="1" spans="1:10">
      <c r="A5298" s="6">
        <f>5296</f>
        <v>5296</v>
      </c>
      <c r="B5298" s="6" t="s">
        <v>13683</v>
      </c>
      <c r="C5298" s="6" t="s">
        <v>12</v>
      </c>
      <c r="D5298" s="6" t="s">
        <v>13005</v>
      </c>
      <c r="E5298" s="6" t="s">
        <v>13624</v>
      </c>
      <c r="F5298" s="6" t="s">
        <v>13684</v>
      </c>
      <c r="G5298" s="6" t="s">
        <v>16</v>
      </c>
      <c r="H5298" s="5">
        <v>2</v>
      </c>
      <c r="I5298" s="6" t="s">
        <v>13685</v>
      </c>
      <c r="J5298" s="5">
        <v>658</v>
      </c>
    </row>
    <row r="5299" s="2" customFormat="1" spans="1:10">
      <c r="A5299" s="6">
        <f>5297</f>
        <v>5297</v>
      </c>
      <c r="B5299" s="6" t="s">
        <v>13686</v>
      </c>
      <c r="C5299" s="6" t="s">
        <v>12</v>
      </c>
      <c r="D5299" s="6" t="s">
        <v>13005</v>
      </c>
      <c r="E5299" s="6" t="s">
        <v>13624</v>
      </c>
      <c r="F5299" s="6" t="s">
        <v>13687</v>
      </c>
      <c r="G5299" s="6" t="s">
        <v>16</v>
      </c>
      <c r="H5299" s="5">
        <v>2</v>
      </c>
      <c r="I5299" s="6" t="s">
        <v>13688</v>
      </c>
      <c r="J5299" s="5">
        <v>406</v>
      </c>
    </row>
    <row r="5300" s="2" customFormat="1" spans="1:10">
      <c r="A5300" s="6">
        <f>5298</f>
        <v>5298</v>
      </c>
      <c r="B5300" s="6" t="s">
        <v>13689</v>
      </c>
      <c r="C5300" s="6" t="s">
        <v>12</v>
      </c>
      <c r="D5300" s="6" t="s">
        <v>13005</v>
      </c>
      <c r="E5300" s="6" t="s">
        <v>13624</v>
      </c>
      <c r="F5300" s="6" t="s">
        <v>13690</v>
      </c>
      <c r="G5300" s="6" t="s">
        <v>16</v>
      </c>
      <c r="H5300" s="5">
        <v>3</v>
      </c>
      <c r="I5300" s="6" t="s">
        <v>13691</v>
      </c>
      <c r="J5300" s="5">
        <v>860</v>
      </c>
    </row>
    <row r="5301" s="2" customFormat="1" ht="27" spans="1:10">
      <c r="A5301" s="6">
        <f>5299</f>
        <v>5299</v>
      </c>
      <c r="B5301" s="6" t="s">
        <v>13692</v>
      </c>
      <c r="C5301" s="6" t="s">
        <v>12</v>
      </c>
      <c r="D5301" s="6" t="s">
        <v>13005</v>
      </c>
      <c r="E5301" s="6" t="s">
        <v>13624</v>
      </c>
      <c r="F5301" s="6" t="s">
        <v>13693</v>
      </c>
      <c r="G5301" s="6" t="s">
        <v>16</v>
      </c>
      <c r="H5301" s="5">
        <v>4</v>
      </c>
      <c r="I5301" s="6" t="s">
        <v>13694</v>
      </c>
      <c r="J5301" s="5">
        <v>1080</v>
      </c>
    </row>
    <row r="5302" s="2" customFormat="1" ht="27" spans="1:10">
      <c r="A5302" s="6">
        <f>5300</f>
        <v>5300</v>
      </c>
      <c r="B5302" s="6" t="s">
        <v>13695</v>
      </c>
      <c r="C5302" s="6" t="s">
        <v>12</v>
      </c>
      <c r="D5302" s="6" t="s">
        <v>13005</v>
      </c>
      <c r="E5302" s="6" t="s">
        <v>13624</v>
      </c>
      <c r="F5302" s="6" t="s">
        <v>1968</v>
      </c>
      <c r="G5302" s="6" t="s">
        <v>16</v>
      </c>
      <c r="H5302" s="5">
        <v>4</v>
      </c>
      <c r="I5302" s="6" t="s">
        <v>13696</v>
      </c>
      <c r="J5302" s="5">
        <v>1060</v>
      </c>
    </row>
    <row r="5303" s="2" customFormat="1" spans="1:10">
      <c r="A5303" s="6">
        <f>5301</f>
        <v>5301</v>
      </c>
      <c r="B5303" s="6" t="s">
        <v>13697</v>
      </c>
      <c r="C5303" s="6" t="s">
        <v>12</v>
      </c>
      <c r="D5303" s="6" t="s">
        <v>13005</v>
      </c>
      <c r="E5303" s="6" t="s">
        <v>13624</v>
      </c>
      <c r="F5303" s="6" t="s">
        <v>13698</v>
      </c>
      <c r="G5303" s="6" t="s">
        <v>16</v>
      </c>
      <c r="H5303" s="5">
        <v>1</v>
      </c>
      <c r="I5303" s="6" t="s">
        <v>13698</v>
      </c>
      <c r="J5303" s="5">
        <v>228</v>
      </c>
    </row>
    <row r="5304" s="2" customFormat="1" spans="1:10">
      <c r="A5304" s="6">
        <f>5302</f>
        <v>5302</v>
      </c>
      <c r="B5304" s="6" t="s">
        <v>13699</v>
      </c>
      <c r="C5304" s="6" t="s">
        <v>12</v>
      </c>
      <c r="D5304" s="6" t="s">
        <v>13005</v>
      </c>
      <c r="E5304" s="6" t="s">
        <v>13624</v>
      </c>
      <c r="F5304" s="6" t="s">
        <v>13700</v>
      </c>
      <c r="G5304" s="6" t="s">
        <v>16</v>
      </c>
      <c r="H5304" s="5">
        <v>2</v>
      </c>
      <c r="I5304" s="6" t="s">
        <v>13701</v>
      </c>
      <c r="J5304" s="5">
        <v>701</v>
      </c>
    </row>
    <row r="5305" s="2" customFormat="1" spans="1:10">
      <c r="A5305" s="6">
        <f>5303</f>
        <v>5303</v>
      </c>
      <c r="B5305" s="6" t="s">
        <v>13702</v>
      </c>
      <c r="C5305" s="6" t="s">
        <v>12</v>
      </c>
      <c r="D5305" s="6" t="s">
        <v>13005</v>
      </c>
      <c r="E5305" s="6" t="s">
        <v>13624</v>
      </c>
      <c r="F5305" s="6" t="s">
        <v>13703</v>
      </c>
      <c r="G5305" s="6" t="s">
        <v>16</v>
      </c>
      <c r="H5305" s="5">
        <v>2</v>
      </c>
      <c r="I5305" s="6" t="s">
        <v>13704</v>
      </c>
      <c r="J5305" s="5">
        <v>625</v>
      </c>
    </row>
    <row r="5306" s="2" customFormat="1" spans="1:10">
      <c r="A5306" s="6">
        <f>5304</f>
        <v>5304</v>
      </c>
      <c r="B5306" s="6" t="s">
        <v>13705</v>
      </c>
      <c r="C5306" s="6" t="s">
        <v>12</v>
      </c>
      <c r="D5306" s="6" t="s">
        <v>13005</v>
      </c>
      <c r="E5306" s="6" t="s">
        <v>13624</v>
      </c>
      <c r="F5306" s="6" t="s">
        <v>13706</v>
      </c>
      <c r="G5306" s="6" t="s">
        <v>16</v>
      </c>
      <c r="H5306" s="5">
        <v>2</v>
      </c>
      <c r="I5306" s="6" t="s">
        <v>13707</v>
      </c>
      <c r="J5306" s="5">
        <v>554</v>
      </c>
    </row>
    <row r="5307" s="2" customFormat="1" spans="1:10">
      <c r="A5307" s="6">
        <f>5305</f>
        <v>5305</v>
      </c>
      <c r="B5307" s="6" t="s">
        <v>13708</v>
      </c>
      <c r="C5307" s="6" t="s">
        <v>12</v>
      </c>
      <c r="D5307" s="6" t="s">
        <v>13005</v>
      </c>
      <c r="E5307" s="6" t="s">
        <v>13624</v>
      </c>
      <c r="F5307" s="6" t="s">
        <v>13709</v>
      </c>
      <c r="G5307" s="6" t="s">
        <v>16</v>
      </c>
      <c r="H5307" s="5">
        <v>1</v>
      </c>
      <c r="I5307" s="6" t="s">
        <v>13709</v>
      </c>
      <c r="J5307" s="5">
        <v>275</v>
      </c>
    </row>
    <row r="5308" s="2" customFormat="1" spans="1:10">
      <c r="A5308" s="6">
        <f>5306</f>
        <v>5306</v>
      </c>
      <c r="B5308" s="6" t="s">
        <v>13710</v>
      </c>
      <c r="C5308" s="6" t="s">
        <v>12</v>
      </c>
      <c r="D5308" s="6" t="s">
        <v>13005</v>
      </c>
      <c r="E5308" s="6" t="s">
        <v>13624</v>
      </c>
      <c r="F5308" s="6" t="s">
        <v>13711</v>
      </c>
      <c r="G5308" s="6" t="s">
        <v>16</v>
      </c>
      <c r="H5308" s="5">
        <v>2</v>
      </c>
      <c r="I5308" s="6" t="s">
        <v>13712</v>
      </c>
      <c r="J5308" s="5">
        <v>870</v>
      </c>
    </row>
    <row r="5309" s="2" customFormat="1" spans="1:10">
      <c r="A5309" s="6">
        <f>5307</f>
        <v>5307</v>
      </c>
      <c r="B5309" s="6" t="s">
        <v>13713</v>
      </c>
      <c r="C5309" s="6" t="s">
        <v>12</v>
      </c>
      <c r="D5309" s="6" t="s">
        <v>13005</v>
      </c>
      <c r="E5309" s="6" t="s">
        <v>13624</v>
      </c>
      <c r="F5309" s="6" t="s">
        <v>13714</v>
      </c>
      <c r="G5309" s="6" t="s">
        <v>16</v>
      </c>
      <c r="H5309" s="5">
        <v>1</v>
      </c>
      <c r="I5309" s="6" t="s">
        <v>13714</v>
      </c>
      <c r="J5309" s="5">
        <v>248</v>
      </c>
    </row>
    <row r="5310" s="2" customFormat="1" spans="1:10">
      <c r="A5310" s="6">
        <f>5308</f>
        <v>5308</v>
      </c>
      <c r="B5310" s="6" t="s">
        <v>13715</v>
      </c>
      <c r="C5310" s="6" t="s">
        <v>12</v>
      </c>
      <c r="D5310" s="6" t="s">
        <v>13005</v>
      </c>
      <c r="E5310" s="6" t="s">
        <v>13624</v>
      </c>
      <c r="F5310" s="6" t="s">
        <v>13716</v>
      </c>
      <c r="G5310" s="6" t="s">
        <v>16</v>
      </c>
      <c r="H5310" s="5">
        <v>3</v>
      </c>
      <c r="I5310" s="6" t="s">
        <v>13717</v>
      </c>
      <c r="J5310" s="5">
        <v>740</v>
      </c>
    </row>
    <row r="5311" s="2" customFormat="1" spans="1:10">
      <c r="A5311" s="6">
        <f>5309</f>
        <v>5309</v>
      </c>
      <c r="B5311" s="6" t="s">
        <v>13718</v>
      </c>
      <c r="C5311" s="6" t="s">
        <v>12</v>
      </c>
      <c r="D5311" s="6" t="s">
        <v>13005</v>
      </c>
      <c r="E5311" s="6" t="s">
        <v>13624</v>
      </c>
      <c r="F5311" s="6" t="s">
        <v>13719</v>
      </c>
      <c r="G5311" s="6" t="s">
        <v>16</v>
      </c>
      <c r="H5311" s="5">
        <v>2</v>
      </c>
      <c r="I5311" s="6" t="s">
        <v>13720</v>
      </c>
      <c r="J5311" s="5">
        <v>499</v>
      </c>
    </row>
    <row r="5312" s="2" customFormat="1" spans="1:10">
      <c r="A5312" s="6">
        <f>5310</f>
        <v>5310</v>
      </c>
      <c r="B5312" s="6" t="s">
        <v>13721</v>
      </c>
      <c r="C5312" s="6" t="s">
        <v>12</v>
      </c>
      <c r="D5312" s="6" t="s">
        <v>13005</v>
      </c>
      <c r="E5312" s="6" t="s">
        <v>13624</v>
      </c>
      <c r="F5312" s="6" t="s">
        <v>13722</v>
      </c>
      <c r="G5312" s="6" t="s">
        <v>16</v>
      </c>
      <c r="H5312" s="5">
        <v>2</v>
      </c>
      <c r="I5312" s="6" t="s">
        <v>13723</v>
      </c>
      <c r="J5312" s="5">
        <v>620</v>
      </c>
    </row>
    <row r="5313" s="2" customFormat="1" ht="27" spans="1:10">
      <c r="A5313" s="6">
        <f>5311</f>
        <v>5311</v>
      </c>
      <c r="B5313" s="6" t="s">
        <v>13724</v>
      </c>
      <c r="C5313" s="6" t="s">
        <v>12</v>
      </c>
      <c r="D5313" s="6" t="s">
        <v>13005</v>
      </c>
      <c r="E5313" s="6" t="s">
        <v>13624</v>
      </c>
      <c r="F5313" s="6" t="s">
        <v>13725</v>
      </c>
      <c r="G5313" s="6" t="s">
        <v>16</v>
      </c>
      <c r="H5313" s="5">
        <v>5</v>
      </c>
      <c r="I5313" s="6" t="s">
        <v>13726</v>
      </c>
      <c r="J5313" s="5">
        <v>828</v>
      </c>
    </row>
    <row r="5314" s="2" customFormat="1" spans="1:10">
      <c r="A5314" s="6">
        <f>5312</f>
        <v>5312</v>
      </c>
      <c r="B5314" s="6" t="s">
        <v>13727</v>
      </c>
      <c r="C5314" s="6" t="s">
        <v>12</v>
      </c>
      <c r="D5314" s="6" t="s">
        <v>13005</v>
      </c>
      <c r="E5314" s="6" t="s">
        <v>13624</v>
      </c>
      <c r="F5314" s="6" t="s">
        <v>13728</v>
      </c>
      <c r="G5314" s="6" t="s">
        <v>16</v>
      </c>
      <c r="H5314" s="5">
        <v>3</v>
      </c>
      <c r="I5314" s="6" t="s">
        <v>13729</v>
      </c>
      <c r="J5314" s="5">
        <v>800</v>
      </c>
    </row>
    <row r="5315" s="2" customFormat="1" spans="1:10">
      <c r="A5315" s="6">
        <f>5313</f>
        <v>5313</v>
      </c>
      <c r="B5315" s="6" t="s">
        <v>13730</v>
      </c>
      <c r="C5315" s="6" t="s">
        <v>12</v>
      </c>
      <c r="D5315" s="6" t="s">
        <v>13005</v>
      </c>
      <c r="E5315" s="6" t="s">
        <v>13624</v>
      </c>
      <c r="F5315" s="6" t="s">
        <v>13731</v>
      </c>
      <c r="G5315" s="6" t="s">
        <v>16</v>
      </c>
      <c r="H5315" s="5">
        <v>3</v>
      </c>
      <c r="I5315" s="6" t="s">
        <v>13732</v>
      </c>
      <c r="J5315" s="5">
        <v>751</v>
      </c>
    </row>
    <row r="5316" s="2" customFormat="1" ht="27" spans="1:10">
      <c r="A5316" s="6">
        <f>5314</f>
        <v>5314</v>
      </c>
      <c r="B5316" s="6" t="s">
        <v>13733</v>
      </c>
      <c r="C5316" s="6" t="s">
        <v>12</v>
      </c>
      <c r="D5316" s="6" t="s">
        <v>13005</v>
      </c>
      <c r="E5316" s="6" t="s">
        <v>13624</v>
      </c>
      <c r="F5316" s="6" t="s">
        <v>13734</v>
      </c>
      <c r="G5316" s="6" t="s">
        <v>16</v>
      </c>
      <c r="H5316" s="5">
        <v>4</v>
      </c>
      <c r="I5316" s="6" t="s">
        <v>13735</v>
      </c>
      <c r="J5316" s="5">
        <v>610</v>
      </c>
    </row>
    <row r="5317" s="2" customFormat="1" spans="1:10">
      <c r="A5317" s="6">
        <f>5315</f>
        <v>5315</v>
      </c>
      <c r="B5317" s="6" t="s">
        <v>13736</v>
      </c>
      <c r="C5317" s="6" t="s">
        <v>12</v>
      </c>
      <c r="D5317" s="6" t="s">
        <v>13005</v>
      </c>
      <c r="E5317" s="6" t="s">
        <v>13624</v>
      </c>
      <c r="F5317" s="6" t="s">
        <v>13737</v>
      </c>
      <c r="G5317" s="6" t="s">
        <v>16</v>
      </c>
      <c r="H5317" s="5">
        <v>2</v>
      </c>
      <c r="I5317" s="6" t="s">
        <v>13738</v>
      </c>
      <c r="J5317" s="5">
        <v>486</v>
      </c>
    </row>
    <row r="5318" s="2" customFormat="1" spans="1:10">
      <c r="A5318" s="6">
        <f>5316</f>
        <v>5316</v>
      </c>
      <c r="B5318" s="6" t="s">
        <v>13739</v>
      </c>
      <c r="C5318" s="6" t="s">
        <v>12</v>
      </c>
      <c r="D5318" s="6" t="s">
        <v>13005</v>
      </c>
      <c r="E5318" s="6" t="s">
        <v>13624</v>
      </c>
      <c r="F5318" s="6" t="s">
        <v>13740</v>
      </c>
      <c r="G5318" s="6" t="s">
        <v>16</v>
      </c>
      <c r="H5318" s="5">
        <v>2</v>
      </c>
      <c r="I5318" s="6" t="s">
        <v>13741</v>
      </c>
      <c r="J5318" s="5">
        <v>600</v>
      </c>
    </row>
    <row r="5319" s="2" customFormat="1" spans="1:10">
      <c r="A5319" s="6">
        <f>5317</f>
        <v>5317</v>
      </c>
      <c r="B5319" s="6" t="s">
        <v>13742</v>
      </c>
      <c r="C5319" s="6" t="s">
        <v>12</v>
      </c>
      <c r="D5319" s="6" t="s">
        <v>13005</v>
      </c>
      <c r="E5319" s="6" t="s">
        <v>13624</v>
      </c>
      <c r="F5319" s="6" t="s">
        <v>13743</v>
      </c>
      <c r="G5319" s="6" t="s">
        <v>16</v>
      </c>
      <c r="H5319" s="5">
        <v>3</v>
      </c>
      <c r="I5319" s="6" t="s">
        <v>13744</v>
      </c>
      <c r="J5319" s="5">
        <v>535</v>
      </c>
    </row>
    <row r="5320" s="2" customFormat="1" spans="1:10">
      <c r="A5320" s="6">
        <f>5318</f>
        <v>5318</v>
      </c>
      <c r="B5320" s="6" t="s">
        <v>13745</v>
      </c>
      <c r="C5320" s="6" t="s">
        <v>12</v>
      </c>
      <c r="D5320" s="6" t="s">
        <v>13005</v>
      </c>
      <c r="E5320" s="6" t="s">
        <v>13624</v>
      </c>
      <c r="F5320" s="6" t="s">
        <v>13746</v>
      </c>
      <c r="G5320" s="6" t="s">
        <v>16</v>
      </c>
      <c r="H5320" s="5">
        <v>3</v>
      </c>
      <c r="I5320" s="6" t="s">
        <v>13747</v>
      </c>
      <c r="J5320" s="5">
        <v>800</v>
      </c>
    </row>
    <row r="5321" s="2" customFormat="1" spans="1:10">
      <c r="A5321" s="6">
        <f>5319</f>
        <v>5319</v>
      </c>
      <c r="B5321" s="6" t="s">
        <v>13748</v>
      </c>
      <c r="C5321" s="6" t="s">
        <v>12</v>
      </c>
      <c r="D5321" s="6" t="s">
        <v>13005</v>
      </c>
      <c r="E5321" s="6" t="s">
        <v>13624</v>
      </c>
      <c r="F5321" s="6" t="s">
        <v>13749</v>
      </c>
      <c r="G5321" s="6" t="s">
        <v>16</v>
      </c>
      <c r="H5321" s="5">
        <v>2</v>
      </c>
      <c r="I5321" s="6" t="s">
        <v>13750</v>
      </c>
      <c r="J5321" s="5">
        <v>560</v>
      </c>
    </row>
    <row r="5322" s="2" customFormat="1" spans="1:10">
      <c r="A5322" s="6">
        <f>5320</f>
        <v>5320</v>
      </c>
      <c r="B5322" s="6" t="s">
        <v>13751</v>
      </c>
      <c r="C5322" s="6" t="s">
        <v>12</v>
      </c>
      <c r="D5322" s="6" t="s">
        <v>13005</v>
      </c>
      <c r="E5322" s="6" t="s">
        <v>13624</v>
      </c>
      <c r="F5322" s="6" t="s">
        <v>13037</v>
      </c>
      <c r="G5322" s="6" t="s">
        <v>16</v>
      </c>
      <c r="H5322" s="5">
        <v>2</v>
      </c>
      <c r="I5322" s="6" t="s">
        <v>13752</v>
      </c>
      <c r="J5322" s="5">
        <v>700</v>
      </c>
    </row>
    <row r="5323" s="2" customFormat="1" ht="27" spans="1:10">
      <c r="A5323" s="6">
        <f>5321</f>
        <v>5321</v>
      </c>
      <c r="B5323" s="6" t="s">
        <v>13753</v>
      </c>
      <c r="C5323" s="6" t="s">
        <v>12</v>
      </c>
      <c r="D5323" s="6" t="s">
        <v>13005</v>
      </c>
      <c r="E5323" s="6" t="s">
        <v>13624</v>
      </c>
      <c r="F5323" s="6" t="s">
        <v>13754</v>
      </c>
      <c r="G5323" s="6" t="s">
        <v>16</v>
      </c>
      <c r="H5323" s="5">
        <v>5</v>
      </c>
      <c r="I5323" s="6" t="s">
        <v>13755</v>
      </c>
      <c r="J5323" s="5">
        <v>964</v>
      </c>
    </row>
    <row r="5324" s="2" customFormat="1" spans="1:10">
      <c r="A5324" s="6">
        <f>5322</f>
        <v>5322</v>
      </c>
      <c r="B5324" s="6" t="s">
        <v>13756</v>
      </c>
      <c r="C5324" s="6" t="s">
        <v>12</v>
      </c>
      <c r="D5324" s="6" t="s">
        <v>13005</v>
      </c>
      <c r="E5324" s="6" t="s">
        <v>13757</v>
      </c>
      <c r="F5324" s="6" t="s">
        <v>13758</v>
      </c>
      <c r="G5324" s="6" t="s">
        <v>16</v>
      </c>
      <c r="H5324" s="5">
        <v>1</v>
      </c>
      <c r="I5324" s="6" t="s">
        <v>13758</v>
      </c>
      <c r="J5324" s="5">
        <v>620</v>
      </c>
    </row>
    <row r="5325" s="2" customFormat="1" spans="1:10">
      <c r="A5325" s="6">
        <f>5323</f>
        <v>5323</v>
      </c>
      <c r="B5325" s="6" t="s">
        <v>13759</v>
      </c>
      <c r="C5325" s="6" t="s">
        <v>12</v>
      </c>
      <c r="D5325" s="6" t="s">
        <v>13005</v>
      </c>
      <c r="E5325" s="6" t="s">
        <v>13757</v>
      </c>
      <c r="F5325" s="6" t="s">
        <v>13760</v>
      </c>
      <c r="G5325" s="6" t="s">
        <v>16</v>
      </c>
      <c r="H5325" s="5">
        <v>3</v>
      </c>
      <c r="I5325" s="6" t="s">
        <v>13761</v>
      </c>
      <c r="J5325" s="5">
        <v>980</v>
      </c>
    </row>
    <row r="5326" s="2" customFormat="1" spans="1:10">
      <c r="A5326" s="6">
        <f>5324</f>
        <v>5324</v>
      </c>
      <c r="B5326" s="6" t="s">
        <v>13762</v>
      </c>
      <c r="C5326" s="6" t="s">
        <v>12</v>
      </c>
      <c r="D5326" s="6" t="s">
        <v>13005</v>
      </c>
      <c r="E5326" s="6" t="s">
        <v>13757</v>
      </c>
      <c r="F5326" s="6" t="s">
        <v>13763</v>
      </c>
      <c r="G5326" s="6" t="s">
        <v>16</v>
      </c>
      <c r="H5326" s="5">
        <v>2</v>
      </c>
      <c r="I5326" s="6" t="s">
        <v>13764</v>
      </c>
      <c r="J5326" s="5">
        <v>520</v>
      </c>
    </row>
    <row r="5327" s="2" customFormat="1" spans="1:10">
      <c r="A5327" s="6">
        <f>5325</f>
        <v>5325</v>
      </c>
      <c r="B5327" s="6" t="s">
        <v>13765</v>
      </c>
      <c r="C5327" s="6" t="s">
        <v>12</v>
      </c>
      <c r="D5327" s="6" t="s">
        <v>13005</v>
      </c>
      <c r="E5327" s="6" t="s">
        <v>13757</v>
      </c>
      <c r="F5327" s="6" t="s">
        <v>13766</v>
      </c>
      <c r="G5327" s="6" t="s">
        <v>16</v>
      </c>
      <c r="H5327" s="5">
        <v>3</v>
      </c>
      <c r="I5327" s="6" t="s">
        <v>13767</v>
      </c>
      <c r="J5327" s="5">
        <v>1229</v>
      </c>
    </row>
    <row r="5328" s="2" customFormat="1" spans="1:10">
      <c r="A5328" s="6">
        <f>5326</f>
        <v>5326</v>
      </c>
      <c r="B5328" s="6" t="s">
        <v>13768</v>
      </c>
      <c r="C5328" s="6" t="s">
        <v>12</v>
      </c>
      <c r="D5328" s="6" t="s">
        <v>13005</v>
      </c>
      <c r="E5328" s="6" t="s">
        <v>13757</v>
      </c>
      <c r="F5328" s="6" t="s">
        <v>13769</v>
      </c>
      <c r="G5328" s="6" t="s">
        <v>16</v>
      </c>
      <c r="H5328" s="5">
        <v>1</v>
      </c>
      <c r="I5328" s="6" t="s">
        <v>13769</v>
      </c>
      <c r="J5328" s="5">
        <v>573</v>
      </c>
    </row>
    <row r="5329" s="2" customFormat="1" spans="1:10">
      <c r="A5329" s="6">
        <f>5327</f>
        <v>5327</v>
      </c>
      <c r="B5329" s="6" t="s">
        <v>13770</v>
      </c>
      <c r="C5329" s="6" t="s">
        <v>12</v>
      </c>
      <c r="D5329" s="6" t="s">
        <v>13005</v>
      </c>
      <c r="E5329" s="6" t="s">
        <v>13757</v>
      </c>
      <c r="F5329" s="6" t="s">
        <v>13771</v>
      </c>
      <c r="G5329" s="6" t="s">
        <v>16</v>
      </c>
      <c r="H5329" s="5">
        <v>2</v>
      </c>
      <c r="I5329" s="6" t="s">
        <v>13772</v>
      </c>
      <c r="J5329" s="5">
        <v>520</v>
      </c>
    </row>
    <row r="5330" s="2" customFormat="1" spans="1:10">
      <c r="A5330" s="6">
        <f>5328</f>
        <v>5328</v>
      </c>
      <c r="B5330" s="6" t="s">
        <v>13773</v>
      </c>
      <c r="C5330" s="6" t="s">
        <v>12</v>
      </c>
      <c r="D5330" s="6" t="s">
        <v>13005</v>
      </c>
      <c r="E5330" s="6" t="s">
        <v>13757</v>
      </c>
      <c r="F5330" s="6" t="s">
        <v>13774</v>
      </c>
      <c r="G5330" s="6" t="s">
        <v>16</v>
      </c>
      <c r="H5330" s="5">
        <v>1</v>
      </c>
      <c r="I5330" s="6" t="s">
        <v>13774</v>
      </c>
      <c r="J5330" s="5">
        <v>328</v>
      </c>
    </row>
    <row r="5331" s="2" customFormat="1" spans="1:10">
      <c r="A5331" s="6">
        <f>5329</f>
        <v>5329</v>
      </c>
      <c r="B5331" s="6" t="s">
        <v>13775</v>
      </c>
      <c r="C5331" s="6" t="s">
        <v>12</v>
      </c>
      <c r="D5331" s="6" t="s">
        <v>13005</v>
      </c>
      <c r="E5331" s="6" t="s">
        <v>13757</v>
      </c>
      <c r="F5331" s="6" t="s">
        <v>13776</v>
      </c>
      <c r="G5331" s="6" t="s">
        <v>16</v>
      </c>
      <c r="H5331" s="5">
        <v>1</v>
      </c>
      <c r="I5331" s="6" t="s">
        <v>13776</v>
      </c>
      <c r="J5331" s="5">
        <v>293</v>
      </c>
    </row>
    <row r="5332" s="2" customFormat="1" spans="1:10">
      <c r="A5332" s="6">
        <f>5330</f>
        <v>5330</v>
      </c>
      <c r="B5332" s="6" t="s">
        <v>13777</v>
      </c>
      <c r="C5332" s="6" t="s">
        <v>12</v>
      </c>
      <c r="D5332" s="6" t="s">
        <v>13005</v>
      </c>
      <c r="E5332" s="6" t="s">
        <v>13757</v>
      </c>
      <c r="F5332" s="6" t="s">
        <v>13778</v>
      </c>
      <c r="G5332" s="6" t="s">
        <v>16</v>
      </c>
      <c r="H5332" s="5">
        <v>3</v>
      </c>
      <c r="I5332" s="6" t="s">
        <v>13779</v>
      </c>
      <c r="J5332" s="5">
        <v>720</v>
      </c>
    </row>
    <row r="5333" s="2" customFormat="1" ht="27" spans="1:10">
      <c r="A5333" s="6">
        <f>5331</f>
        <v>5331</v>
      </c>
      <c r="B5333" s="6" t="s">
        <v>13780</v>
      </c>
      <c r="C5333" s="6" t="s">
        <v>12</v>
      </c>
      <c r="D5333" s="6" t="s">
        <v>13005</v>
      </c>
      <c r="E5333" s="6" t="s">
        <v>13757</v>
      </c>
      <c r="F5333" s="6" t="s">
        <v>13781</v>
      </c>
      <c r="G5333" s="6" t="s">
        <v>16</v>
      </c>
      <c r="H5333" s="5">
        <v>4</v>
      </c>
      <c r="I5333" s="6" t="s">
        <v>13782</v>
      </c>
      <c r="J5333" s="5">
        <v>1240</v>
      </c>
    </row>
    <row r="5334" s="2" customFormat="1" ht="27" spans="1:10">
      <c r="A5334" s="6">
        <f>5332</f>
        <v>5332</v>
      </c>
      <c r="B5334" s="6" t="s">
        <v>13783</v>
      </c>
      <c r="C5334" s="6" t="s">
        <v>12</v>
      </c>
      <c r="D5334" s="6" t="s">
        <v>13005</v>
      </c>
      <c r="E5334" s="6" t="s">
        <v>13757</v>
      </c>
      <c r="F5334" s="6" t="s">
        <v>13784</v>
      </c>
      <c r="G5334" s="6" t="s">
        <v>16</v>
      </c>
      <c r="H5334" s="5">
        <v>6</v>
      </c>
      <c r="I5334" s="6" t="s">
        <v>13785</v>
      </c>
      <c r="J5334" s="5">
        <v>1800</v>
      </c>
    </row>
    <row r="5335" s="2" customFormat="1" spans="1:10">
      <c r="A5335" s="6">
        <f>5333</f>
        <v>5333</v>
      </c>
      <c r="B5335" s="6" t="s">
        <v>13786</v>
      </c>
      <c r="C5335" s="6" t="s">
        <v>12</v>
      </c>
      <c r="D5335" s="6" t="s">
        <v>13005</v>
      </c>
      <c r="E5335" s="6" t="s">
        <v>13757</v>
      </c>
      <c r="F5335" s="6" t="s">
        <v>13787</v>
      </c>
      <c r="G5335" s="6" t="s">
        <v>16</v>
      </c>
      <c r="H5335" s="5">
        <v>1</v>
      </c>
      <c r="I5335" s="6" t="s">
        <v>13787</v>
      </c>
      <c r="J5335" s="5">
        <v>620</v>
      </c>
    </row>
    <row r="5336" s="2" customFormat="1" spans="1:10">
      <c r="A5336" s="6">
        <f>5334</f>
        <v>5334</v>
      </c>
      <c r="B5336" s="6" t="s">
        <v>13788</v>
      </c>
      <c r="C5336" s="6" t="s">
        <v>12</v>
      </c>
      <c r="D5336" s="6" t="s">
        <v>13005</v>
      </c>
      <c r="E5336" s="6" t="s">
        <v>13757</v>
      </c>
      <c r="F5336" s="6" t="s">
        <v>13789</v>
      </c>
      <c r="G5336" s="6" t="s">
        <v>16</v>
      </c>
      <c r="H5336" s="5">
        <v>1</v>
      </c>
      <c r="I5336" s="6" t="s">
        <v>13789</v>
      </c>
      <c r="J5336" s="5">
        <v>400</v>
      </c>
    </row>
    <row r="5337" s="2" customFormat="1" spans="1:10">
      <c r="A5337" s="6">
        <f>5335</f>
        <v>5335</v>
      </c>
      <c r="B5337" s="6" t="s">
        <v>13790</v>
      </c>
      <c r="C5337" s="6" t="s">
        <v>12</v>
      </c>
      <c r="D5337" s="6" t="s">
        <v>13005</v>
      </c>
      <c r="E5337" s="6" t="s">
        <v>13757</v>
      </c>
      <c r="F5337" s="6" t="s">
        <v>13791</v>
      </c>
      <c r="G5337" s="6" t="s">
        <v>16</v>
      </c>
      <c r="H5337" s="5">
        <v>2</v>
      </c>
      <c r="I5337" s="6" t="s">
        <v>13792</v>
      </c>
      <c r="J5337" s="5">
        <v>560</v>
      </c>
    </row>
    <row r="5338" s="2" customFormat="1" spans="1:10">
      <c r="A5338" s="6">
        <f>5336</f>
        <v>5336</v>
      </c>
      <c r="B5338" s="6" t="s">
        <v>13793</v>
      </c>
      <c r="C5338" s="6" t="s">
        <v>12</v>
      </c>
      <c r="D5338" s="6" t="s">
        <v>13005</v>
      </c>
      <c r="E5338" s="6" t="s">
        <v>13757</v>
      </c>
      <c r="F5338" s="6" t="s">
        <v>13794</v>
      </c>
      <c r="G5338" s="6" t="s">
        <v>16</v>
      </c>
      <c r="H5338" s="5">
        <v>3</v>
      </c>
      <c r="I5338" s="6" t="s">
        <v>13795</v>
      </c>
      <c r="J5338" s="5">
        <v>798</v>
      </c>
    </row>
    <row r="5339" s="2" customFormat="1" spans="1:10">
      <c r="A5339" s="6">
        <f>5337</f>
        <v>5337</v>
      </c>
      <c r="B5339" s="6" t="s">
        <v>13796</v>
      </c>
      <c r="C5339" s="6" t="s">
        <v>12</v>
      </c>
      <c r="D5339" s="6" t="s">
        <v>13005</v>
      </c>
      <c r="E5339" s="6" t="s">
        <v>13757</v>
      </c>
      <c r="F5339" s="6" t="s">
        <v>4419</v>
      </c>
      <c r="G5339" s="6" t="s">
        <v>16</v>
      </c>
      <c r="H5339" s="5">
        <v>1</v>
      </c>
      <c r="I5339" s="6" t="s">
        <v>4419</v>
      </c>
      <c r="J5339" s="5">
        <v>260</v>
      </c>
    </row>
    <row r="5340" s="2" customFormat="1" spans="1:10">
      <c r="A5340" s="6">
        <f>5338</f>
        <v>5338</v>
      </c>
      <c r="B5340" s="6" t="s">
        <v>13797</v>
      </c>
      <c r="C5340" s="6" t="s">
        <v>12</v>
      </c>
      <c r="D5340" s="6" t="s">
        <v>13005</v>
      </c>
      <c r="E5340" s="6" t="s">
        <v>13757</v>
      </c>
      <c r="F5340" s="6" t="s">
        <v>13798</v>
      </c>
      <c r="G5340" s="6" t="s">
        <v>16</v>
      </c>
      <c r="H5340" s="5">
        <v>1</v>
      </c>
      <c r="I5340" s="6" t="s">
        <v>13798</v>
      </c>
      <c r="J5340" s="5">
        <v>248</v>
      </c>
    </row>
    <row r="5341" s="2" customFormat="1" spans="1:10">
      <c r="A5341" s="6">
        <f>5339</f>
        <v>5339</v>
      </c>
      <c r="B5341" s="6" t="s">
        <v>13799</v>
      </c>
      <c r="C5341" s="6" t="s">
        <v>12</v>
      </c>
      <c r="D5341" s="6" t="s">
        <v>13005</v>
      </c>
      <c r="E5341" s="6" t="s">
        <v>13757</v>
      </c>
      <c r="F5341" s="6" t="s">
        <v>13800</v>
      </c>
      <c r="G5341" s="6" t="s">
        <v>16</v>
      </c>
      <c r="H5341" s="5">
        <v>2</v>
      </c>
      <c r="I5341" s="6" t="s">
        <v>13801</v>
      </c>
      <c r="J5341" s="5">
        <v>550</v>
      </c>
    </row>
    <row r="5342" s="2" customFormat="1" ht="27" spans="1:10">
      <c r="A5342" s="6">
        <f>5340</f>
        <v>5340</v>
      </c>
      <c r="B5342" s="6" t="s">
        <v>13802</v>
      </c>
      <c r="C5342" s="6" t="s">
        <v>12</v>
      </c>
      <c r="D5342" s="6" t="s">
        <v>13005</v>
      </c>
      <c r="E5342" s="6" t="s">
        <v>13757</v>
      </c>
      <c r="F5342" s="6" t="s">
        <v>13803</v>
      </c>
      <c r="G5342" s="6" t="s">
        <v>16</v>
      </c>
      <c r="H5342" s="5">
        <v>5</v>
      </c>
      <c r="I5342" s="6" t="s">
        <v>13804</v>
      </c>
      <c r="J5342" s="5">
        <v>1400</v>
      </c>
    </row>
    <row r="5343" s="2" customFormat="1" spans="1:10">
      <c r="A5343" s="6">
        <f>5341</f>
        <v>5341</v>
      </c>
      <c r="B5343" s="6" t="s">
        <v>13805</v>
      </c>
      <c r="C5343" s="6" t="s">
        <v>12</v>
      </c>
      <c r="D5343" s="6" t="s">
        <v>13005</v>
      </c>
      <c r="E5343" s="6" t="s">
        <v>13757</v>
      </c>
      <c r="F5343" s="6" t="s">
        <v>13806</v>
      </c>
      <c r="G5343" s="6" t="s">
        <v>16</v>
      </c>
      <c r="H5343" s="5">
        <v>2</v>
      </c>
      <c r="I5343" s="6" t="s">
        <v>13807</v>
      </c>
      <c r="J5343" s="5">
        <v>714</v>
      </c>
    </row>
    <row r="5344" s="2" customFormat="1" spans="1:10">
      <c r="A5344" s="6">
        <f>5342</f>
        <v>5342</v>
      </c>
      <c r="B5344" s="6" t="s">
        <v>13808</v>
      </c>
      <c r="C5344" s="6" t="s">
        <v>12</v>
      </c>
      <c r="D5344" s="6" t="s">
        <v>13005</v>
      </c>
      <c r="E5344" s="6" t="s">
        <v>13757</v>
      </c>
      <c r="F5344" s="6" t="s">
        <v>13809</v>
      </c>
      <c r="G5344" s="6" t="s">
        <v>16</v>
      </c>
      <c r="H5344" s="5">
        <v>1</v>
      </c>
      <c r="I5344" s="6" t="s">
        <v>13809</v>
      </c>
      <c r="J5344" s="5">
        <v>255</v>
      </c>
    </row>
    <row r="5345" s="2" customFormat="1" spans="1:10">
      <c r="A5345" s="6">
        <f>5343</f>
        <v>5343</v>
      </c>
      <c r="B5345" s="6" t="s">
        <v>13810</v>
      </c>
      <c r="C5345" s="6" t="s">
        <v>12</v>
      </c>
      <c r="D5345" s="6" t="s">
        <v>13005</v>
      </c>
      <c r="E5345" s="6" t="s">
        <v>13757</v>
      </c>
      <c r="F5345" s="6" t="s">
        <v>13811</v>
      </c>
      <c r="G5345" s="6" t="s">
        <v>16</v>
      </c>
      <c r="H5345" s="5">
        <v>1</v>
      </c>
      <c r="I5345" s="6" t="s">
        <v>13811</v>
      </c>
      <c r="J5345" s="5">
        <v>573</v>
      </c>
    </row>
    <row r="5346" s="2" customFormat="1" spans="1:10">
      <c r="A5346" s="6">
        <f>5344</f>
        <v>5344</v>
      </c>
      <c r="B5346" s="6" t="s">
        <v>13812</v>
      </c>
      <c r="C5346" s="6" t="s">
        <v>12</v>
      </c>
      <c r="D5346" s="6" t="s">
        <v>13005</v>
      </c>
      <c r="E5346" s="6" t="s">
        <v>13757</v>
      </c>
      <c r="F5346" s="6" t="s">
        <v>13813</v>
      </c>
      <c r="G5346" s="6" t="s">
        <v>16</v>
      </c>
      <c r="H5346" s="5">
        <v>1</v>
      </c>
      <c r="I5346" s="6" t="s">
        <v>13813</v>
      </c>
      <c r="J5346" s="5">
        <v>350</v>
      </c>
    </row>
    <row r="5347" s="2" customFormat="1" spans="1:10">
      <c r="A5347" s="6">
        <f>5345</f>
        <v>5345</v>
      </c>
      <c r="B5347" s="6" t="s">
        <v>13814</v>
      </c>
      <c r="C5347" s="6" t="s">
        <v>12</v>
      </c>
      <c r="D5347" s="6" t="s">
        <v>13005</v>
      </c>
      <c r="E5347" s="6" t="s">
        <v>13757</v>
      </c>
      <c r="F5347" s="6" t="s">
        <v>13815</v>
      </c>
      <c r="G5347" s="6" t="s">
        <v>16</v>
      </c>
      <c r="H5347" s="5">
        <v>1</v>
      </c>
      <c r="I5347" s="6" t="s">
        <v>13815</v>
      </c>
      <c r="J5347" s="5">
        <v>385</v>
      </c>
    </row>
    <row r="5348" s="2" customFormat="1" ht="27" spans="1:10">
      <c r="A5348" s="6">
        <f>5346</f>
        <v>5346</v>
      </c>
      <c r="B5348" s="6" t="s">
        <v>13816</v>
      </c>
      <c r="C5348" s="6" t="s">
        <v>12</v>
      </c>
      <c r="D5348" s="6" t="s">
        <v>13005</v>
      </c>
      <c r="E5348" s="6" t="s">
        <v>13757</v>
      </c>
      <c r="F5348" s="6" t="s">
        <v>13817</v>
      </c>
      <c r="G5348" s="6" t="s">
        <v>16</v>
      </c>
      <c r="H5348" s="5">
        <v>5</v>
      </c>
      <c r="I5348" s="6" t="s">
        <v>13818</v>
      </c>
      <c r="J5348" s="5">
        <v>1300</v>
      </c>
    </row>
    <row r="5349" s="2" customFormat="1" ht="27" spans="1:10">
      <c r="A5349" s="6">
        <f>5347</f>
        <v>5347</v>
      </c>
      <c r="B5349" s="6" t="s">
        <v>13819</v>
      </c>
      <c r="C5349" s="6" t="s">
        <v>12</v>
      </c>
      <c r="D5349" s="6" t="s">
        <v>13005</v>
      </c>
      <c r="E5349" s="6" t="s">
        <v>13757</v>
      </c>
      <c r="F5349" s="6" t="s">
        <v>13820</v>
      </c>
      <c r="G5349" s="6" t="s">
        <v>16</v>
      </c>
      <c r="H5349" s="5">
        <v>4</v>
      </c>
      <c r="I5349" s="6" t="s">
        <v>13821</v>
      </c>
      <c r="J5349" s="5">
        <v>895</v>
      </c>
    </row>
    <row r="5350" s="2" customFormat="1" spans="1:10">
      <c r="A5350" s="6">
        <f>5348</f>
        <v>5348</v>
      </c>
      <c r="B5350" s="6" t="s">
        <v>13822</v>
      </c>
      <c r="C5350" s="6" t="s">
        <v>12</v>
      </c>
      <c r="D5350" s="6" t="s">
        <v>13005</v>
      </c>
      <c r="E5350" s="6" t="s">
        <v>13757</v>
      </c>
      <c r="F5350" s="6" t="s">
        <v>13823</v>
      </c>
      <c r="G5350" s="6" t="s">
        <v>16</v>
      </c>
      <c r="H5350" s="5">
        <v>2</v>
      </c>
      <c r="I5350" s="6" t="s">
        <v>13824</v>
      </c>
      <c r="J5350" s="5">
        <v>550</v>
      </c>
    </row>
    <row r="5351" s="2" customFormat="1" ht="27" spans="1:10">
      <c r="A5351" s="6">
        <f>5349</f>
        <v>5349</v>
      </c>
      <c r="B5351" s="6" t="s">
        <v>13825</v>
      </c>
      <c r="C5351" s="6" t="s">
        <v>12</v>
      </c>
      <c r="D5351" s="6" t="s">
        <v>13005</v>
      </c>
      <c r="E5351" s="6" t="s">
        <v>13757</v>
      </c>
      <c r="F5351" s="6" t="s">
        <v>13826</v>
      </c>
      <c r="G5351" s="6" t="s">
        <v>16</v>
      </c>
      <c r="H5351" s="5">
        <v>5</v>
      </c>
      <c r="I5351" s="6" t="s">
        <v>13827</v>
      </c>
      <c r="J5351" s="5">
        <v>1325</v>
      </c>
    </row>
    <row r="5352" s="2" customFormat="1" spans="1:10">
      <c r="A5352" s="6">
        <f>5350</f>
        <v>5350</v>
      </c>
      <c r="B5352" s="6" t="s">
        <v>13828</v>
      </c>
      <c r="C5352" s="6" t="s">
        <v>12</v>
      </c>
      <c r="D5352" s="6" t="s">
        <v>13005</v>
      </c>
      <c r="E5352" s="6" t="s">
        <v>13757</v>
      </c>
      <c r="F5352" s="6" t="s">
        <v>13829</v>
      </c>
      <c r="G5352" s="6" t="s">
        <v>16</v>
      </c>
      <c r="H5352" s="5">
        <v>2</v>
      </c>
      <c r="I5352" s="6" t="s">
        <v>13830</v>
      </c>
      <c r="J5352" s="5">
        <v>520</v>
      </c>
    </row>
    <row r="5353" s="2" customFormat="1" spans="1:10">
      <c r="A5353" s="6">
        <f>5351</f>
        <v>5351</v>
      </c>
      <c r="B5353" s="6" t="s">
        <v>13831</v>
      </c>
      <c r="C5353" s="6" t="s">
        <v>12</v>
      </c>
      <c r="D5353" s="6" t="s">
        <v>13005</v>
      </c>
      <c r="E5353" s="6" t="s">
        <v>13757</v>
      </c>
      <c r="F5353" s="6" t="s">
        <v>13832</v>
      </c>
      <c r="G5353" s="6" t="s">
        <v>16</v>
      </c>
      <c r="H5353" s="5">
        <v>1</v>
      </c>
      <c r="I5353" s="6" t="s">
        <v>13832</v>
      </c>
      <c r="J5353" s="5">
        <v>295</v>
      </c>
    </row>
    <row r="5354" s="2" customFormat="1" ht="27" spans="1:10">
      <c r="A5354" s="6">
        <f>5352</f>
        <v>5352</v>
      </c>
      <c r="B5354" s="6" t="s">
        <v>13833</v>
      </c>
      <c r="C5354" s="6" t="s">
        <v>12</v>
      </c>
      <c r="D5354" s="6" t="s">
        <v>13005</v>
      </c>
      <c r="E5354" s="6" t="s">
        <v>13757</v>
      </c>
      <c r="F5354" s="6" t="s">
        <v>13834</v>
      </c>
      <c r="G5354" s="6" t="s">
        <v>16</v>
      </c>
      <c r="H5354" s="5">
        <v>4</v>
      </c>
      <c r="I5354" s="6" t="s">
        <v>13835</v>
      </c>
      <c r="J5354" s="5">
        <v>960</v>
      </c>
    </row>
    <row r="5355" s="2" customFormat="1" spans="1:10">
      <c r="A5355" s="6">
        <f>5353</f>
        <v>5353</v>
      </c>
      <c r="B5355" s="6" t="s">
        <v>13836</v>
      </c>
      <c r="C5355" s="6" t="s">
        <v>12</v>
      </c>
      <c r="D5355" s="6" t="s">
        <v>13005</v>
      </c>
      <c r="E5355" s="6" t="s">
        <v>13757</v>
      </c>
      <c r="F5355" s="6" t="s">
        <v>13837</v>
      </c>
      <c r="G5355" s="6" t="s">
        <v>16</v>
      </c>
      <c r="H5355" s="5">
        <v>1</v>
      </c>
      <c r="I5355" s="6" t="s">
        <v>13837</v>
      </c>
      <c r="J5355" s="5">
        <v>277</v>
      </c>
    </row>
    <row r="5356" s="2" customFormat="1" spans="1:10">
      <c r="A5356" s="6">
        <f>5354</f>
        <v>5354</v>
      </c>
      <c r="B5356" s="6" t="s">
        <v>13838</v>
      </c>
      <c r="C5356" s="6" t="s">
        <v>12</v>
      </c>
      <c r="D5356" s="6" t="s">
        <v>13005</v>
      </c>
      <c r="E5356" s="6" t="s">
        <v>13757</v>
      </c>
      <c r="F5356" s="6" t="s">
        <v>11102</v>
      </c>
      <c r="G5356" s="6" t="s">
        <v>16</v>
      </c>
      <c r="H5356" s="5">
        <v>1</v>
      </c>
      <c r="I5356" s="6" t="s">
        <v>11102</v>
      </c>
      <c r="J5356" s="5">
        <v>396</v>
      </c>
    </row>
    <row r="5357" s="2" customFormat="1" spans="1:10">
      <c r="A5357" s="6">
        <f>5355</f>
        <v>5355</v>
      </c>
      <c r="B5357" s="6" t="s">
        <v>13839</v>
      </c>
      <c r="C5357" s="6" t="s">
        <v>12</v>
      </c>
      <c r="D5357" s="6" t="s">
        <v>13005</v>
      </c>
      <c r="E5357" s="6" t="s">
        <v>13757</v>
      </c>
      <c r="F5357" s="6" t="s">
        <v>13840</v>
      </c>
      <c r="G5357" s="6" t="s">
        <v>16</v>
      </c>
      <c r="H5357" s="5">
        <v>1</v>
      </c>
      <c r="I5357" s="6" t="s">
        <v>13840</v>
      </c>
      <c r="J5357" s="5">
        <v>435</v>
      </c>
    </row>
    <row r="5358" s="2" customFormat="1" spans="1:10">
      <c r="A5358" s="6">
        <f>5356</f>
        <v>5356</v>
      </c>
      <c r="B5358" s="6" t="s">
        <v>13841</v>
      </c>
      <c r="C5358" s="6" t="s">
        <v>12</v>
      </c>
      <c r="D5358" s="6" t="s">
        <v>13005</v>
      </c>
      <c r="E5358" s="6" t="s">
        <v>13757</v>
      </c>
      <c r="F5358" s="6" t="s">
        <v>13842</v>
      </c>
      <c r="G5358" s="6" t="s">
        <v>16</v>
      </c>
      <c r="H5358" s="5">
        <v>3</v>
      </c>
      <c r="I5358" s="6" t="s">
        <v>13843</v>
      </c>
      <c r="J5358" s="5">
        <v>526</v>
      </c>
    </row>
    <row r="5359" s="2" customFormat="1" ht="27" spans="1:10">
      <c r="A5359" s="6">
        <f>5357</f>
        <v>5357</v>
      </c>
      <c r="B5359" s="6" t="s">
        <v>13844</v>
      </c>
      <c r="C5359" s="6" t="s">
        <v>12</v>
      </c>
      <c r="D5359" s="6" t="s">
        <v>13005</v>
      </c>
      <c r="E5359" s="6" t="s">
        <v>13757</v>
      </c>
      <c r="F5359" s="6" t="s">
        <v>13845</v>
      </c>
      <c r="G5359" s="6" t="s">
        <v>16</v>
      </c>
      <c r="H5359" s="5">
        <v>5</v>
      </c>
      <c r="I5359" s="6" t="s">
        <v>13846</v>
      </c>
      <c r="J5359" s="5">
        <v>900</v>
      </c>
    </row>
    <row r="5360" s="2" customFormat="1" spans="1:10">
      <c r="A5360" s="6">
        <f>5358</f>
        <v>5358</v>
      </c>
      <c r="B5360" s="6" t="s">
        <v>13847</v>
      </c>
      <c r="C5360" s="6" t="s">
        <v>12</v>
      </c>
      <c r="D5360" s="6" t="s">
        <v>13005</v>
      </c>
      <c r="E5360" s="6" t="s">
        <v>13757</v>
      </c>
      <c r="F5360" s="6" t="s">
        <v>13848</v>
      </c>
      <c r="G5360" s="6" t="s">
        <v>16</v>
      </c>
      <c r="H5360" s="5">
        <v>2</v>
      </c>
      <c r="I5360" s="6" t="s">
        <v>13849</v>
      </c>
      <c r="J5360" s="5">
        <v>456</v>
      </c>
    </row>
    <row r="5361" s="2" customFormat="1" ht="27" spans="1:10">
      <c r="A5361" s="6">
        <f>5359</f>
        <v>5359</v>
      </c>
      <c r="B5361" s="6" t="s">
        <v>13850</v>
      </c>
      <c r="C5361" s="6" t="s">
        <v>12</v>
      </c>
      <c r="D5361" s="6" t="s">
        <v>13005</v>
      </c>
      <c r="E5361" s="6" t="s">
        <v>13757</v>
      </c>
      <c r="F5361" s="6" t="s">
        <v>13851</v>
      </c>
      <c r="G5361" s="6" t="s">
        <v>16</v>
      </c>
      <c r="H5361" s="5">
        <v>5</v>
      </c>
      <c r="I5361" s="6" t="s">
        <v>13852</v>
      </c>
      <c r="J5361" s="5">
        <v>1275</v>
      </c>
    </row>
    <row r="5362" s="2" customFormat="1" ht="40.5" spans="1:10">
      <c r="A5362" s="6">
        <f>5360</f>
        <v>5360</v>
      </c>
      <c r="B5362" s="6" t="s">
        <v>13853</v>
      </c>
      <c r="C5362" s="6" t="s">
        <v>12</v>
      </c>
      <c r="D5362" s="6" t="s">
        <v>13005</v>
      </c>
      <c r="E5362" s="6" t="s">
        <v>13757</v>
      </c>
      <c r="F5362" s="6" t="s">
        <v>13854</v>
      </c>
      <c r="G5362" s="6" t="s">
        <v>16</v>
      </c>
      <c r="H5362" s="5">
        <v>8</v>
      </c>
      <c r="I5362" s="6" t="s">
        <v>13855</v>
      </c>
      <c r="J5362" s="5">
        <v>2600</v>
      </c>
    </row>
    <row r="5363" s="2" customFormat="1" spans="1:10">
      <c r="A5363" s="6">
        <f>5361</f>
        <v>5361</v>
      </c>
      <c r="B5363" s="6" t="s">
        <v>13856</v>
      </c>
      <c r="C5363" s="6" t="s">
        <v>12</v>
      </c>
      <c r="D5363" s="6" t="s">
        <v>13005</v>
      </c>
      <c r="E5363" s="6" t="s">
        <v>13757</v>
      </c>
      <c r="F5363" s="6" t="s">
        <v>13857</v>
      </c>
      <c r="G5363" s="6" t="s">
        <v>16</v>
      </c>
      <c r="H5363" s="5">
        <v>3</v>
      </c>
      <c r="I5363" s="6" t="s">
        <v>13858</v>
      </c>
      <c r="J5363" s="5">
        <v>929</v>
      </c>
    </row>
    <row r="5364" s="2" customFormat="1" ht="27" spans="1:10">
      <c r="A5364" s="6">
        <f>5362</f>
        <v>5362</v>
      </c>
      <c r="B5364" s="6" t="s">
        <v>13859</v>
      </c>
      <c r="C5364" s="6" t="s">
        <v>12</v>
      </c>
      <c r="D5364" s="6" t="s">
        <v>13005</v>
      </c>
      <c r="E5364" s="6" t="s">
        <v>13757</v>
      </c>
      <c r="F5364" s="6" t="s">
        <v>13860</v>
      </c>
      <c r="G5364" s="6" t="s">
        <v>16</v>
      </c>
      <c r="H5364" s="5">
        <v>4</v>
      </c>
      <c r="I5364" s="6" t="s">
        <v>13861</v>
      </c>
      <c r="J5364" s="5">
        <v>670</v>
      </c>
    </row>
    <row r="5365" s="2" customFormat="1" spans="1:10">
      <c r="A5365" s="6">
        <f>5363</f>
        <v>5363</v>
      </c>
      <c r="B5365" s="6" t="s">
        <v>13862</v>
      </c>
      <c r="C5365" s="6" t="s">
        <v>12</v>
      </c>
      <c r="D5365" s="6" t="s">
        <v>13005</v>
      </c>
      <c r="E5365" s="6" t="s">
        <v>13757</v>
      </c>
      <c r="F5365" s="6" t="s">
        <v>13863</v>
      </c>
      <c r="G5365" s="6" t="s">
        <v>16</v>
      </c>
      <c r="H5365" s="5">
        <v>2</v>
      </c>
      <c r="I5365" s="6" t="s">
        <v>13864</v>
      </c>
      <c r="J5365" s="5">
        <v>569</v>
      </c>
    </row>
    <row r="5366" s="2" customFormat="1" ht="27" spans="1:10">
      <c r="A5366" s="6">
        <f>5364</f>
        <v>5364</v>
      </c>
      <c r="B5366" s="6" t="s">
        <v>13865</v>
      </c>
      <c r="C5366" s="6" t="s">
        <v>12</v>
      </c>
      <c r="D5366" s="6" t="s">
        <v>13005</v>
      </c>
      <c r="E5366" s="6" t="s">
        <v>13757</v>
      </c>
      <c r="F5366" s="6" t="s">
        <v>13866</v>
      </c>
      <c r="G5366" s="6" t="s">
        <v>16</v>
      </c>
      <c r="H5366" s="5">
        <v>4</v>
      </c>
      <c r="I5366" s="6" t="s">
        <v>13867</v>
      </c>
      <c r="J5366" s="5">
        <v>840</v>
      </c>
    </row>
    <row r="5367" s="2" customFormat="1" ht="27" spans="1:10">
      <c r="A5367" s="6">
        <f>5365</f>
        <v>5365</v>
      </c>
      <c r="B5367" s="6" t="s">
        <v>13868</v>
      </c>
      <c r="C5367" s="6" t="s">
        <v>12</v>
      </c>
      <c r="D5367" s="6" t="s">
        <v>13005</v>
      </c>
      <c r="E5367" s="6" t="s">
        <v>13757</v>
      </c>
      <c r="F5367" s="6" t="s">
        <v>13869</v>
      </c>
      <c r="G5367" s="6" t="s">
        <v>16</v>
      </c>
      <c r="H5367" s="5">
        <v>6</v>
      </c>
      <c r="I5367" s="6" t="s">
        <v>13870</v>
      </c>
      <c r="J5367" s="5">
        <v>1335</v>
      </c>
    </row>
    <row r="5368" s="2" customFormat="1" spans="1:10">
      <c r="A5368" s="6">
        <f>5366</f>
        <v>5366</v>
      </c>
      <c r="B5368" s="6" t="s">
        <v>13871</v>
      </c>
      <c r="C5368" s="6" t="s">
        <v>12</v>
      </c>
      <c r="D5368" s="6" t="s">
        <v>13005</v>
      </c>
      <c r="E5368" s="6" t="s">
        <v>13757</v>
      </c>
      <c r="F5368" s="6" t="s">
        <v>13872</v>
      </c>
      <c r="G5368" s="6" t="s">
        <v>16</v>
      </c>
      <c r="H5368" s="5">
        <v>1</v>
      </c>
      <c r="I5368" s="6" t="s">
        <v>13872</v>
      </c>
      <c r="J5368" s="5">
        <v>275</v>
      </c>
    </row>
    <row r="5369" s="2" customFormat="1" spans="1:10">
      <c r="A5369" s="6">
        <f>5367</f>
        <v>5367</v>
      </c>
      <c r="B5369" s="6" t="s">
        <v>13873</v>
      </c>
      <c r="C5369" s="6" t="s">
        <v>12</v>
      </c>
      <c r="D5369" s="6" t="s">
        <v>13005</v>
      </c>
      <c r="E5369" s="6" t="s">
        <v>13757</v>
      </c>
      <c r="F5369" s="6" t="s">
        <v>13874</v>
      </c>
      <c r="G5369" s="6" t="s">
        <v>16</v>
      </c>
      <c r="H5369" s="5">
        <v>2</v>
      </c>
      <c r="I5369" s="6" t="s">
        <v>13875</v>
      </c>
      <c r="J5369" s="5">
        <v>686</v>
      </c>
    </row>
    <row r="5370" s="2" customFormat="1" ht="27" spans="1:10">
      <c r="A5370" s="6">
        <f>5368</f>
        <v>5368</v>
      </c>
      <c r="B5370" s="6" t="s">
        <v>13876</v>
      </c>
      <c r="C5370" s="6" t="s">
        <v>12</v>
      </c>
      <c r="D5370" s="6" t="s">
        <v>13005</v>
      </c>
      <c r="E5370" s="6" t="s">
        <v>13757</v>
      </c>
      <c r="F5370" s="6" t="s">
        <v>925</v>
      </c>
      <c r="G5370" s="6" t="s">
        <v>16</v>
      </c>
      <c r="H5370" s="5">
        <v>4</v>
      </c>
      <c r="I5370" s="6" t="s">
        <v>13877</v>
      </c>
      <c r="J5370" s="5">
        <v>1088</v>
      </c>
    </row>
    <row r="5371" s="2" customFormat="1" spans="1:10">
      <c r="A5371" s="6">
        <f>5369</f>
        <v>5369</v>
      </c>
      <c r="B5371" s="6" t="s">
        <v>13878</v>
      </c>
      <c r="C5371" s="6" t="s">
        <v>12</v>
      </c>
      <c r="D5371" s="6" t="s">
        <v>13005</v>
      </c>
      <c r="E5371" s="6" t="s">
        <v>13757</v>
      </c>
      <c r="F5371" s="6" t="s">
        <v>13879</v>
      </c>
      <c r="G5371" s="6" t="s">
        <v>16</v>
      </c>
      <c r="H5371" s="5">
        <v>3</v>
      </c>
      <c r="I5371" s="6" t="s">
        <v>13880</v>
      </c>
      <c r="J5371" s="5">
        <v>1002</v>
      </c>
    </row>
    <row r="5372" s="2" customFormat="1" spans="1:10">
      <c r="A5372" s="6">
        <f>5370</f>
        <v>5370</v>
      </c>
      <c r="B5372" s="6" t="s">
        <v>13881</v>
      </c>
      <c r="C5372" s="6" t="s">
        <v>12</v>
      </c>
      <c r="D5372" s="6" t="s">
        <v>13005</v>
      </c>
      <c r="E5372" s="6" t="s">
        <v>13757</v>
      </c>
      <c r="F5372" s="6" t="s">
        <v>13882</v>
      </c>
      <c r="G5372" s="6" t="s">
        <v>16</v>
      </c>
      <c r="H5372" s="5">
        <v>1</v>
      </c>
      <c r="I5372" s="6" t="s">
        <v>13882</v>
      </c>
      <c r="J5372" s="5">
        <v>297</v>
      </c>
    </row>
    <row r="5373" s="2" customFormat="1" spans="1:10">
      <c r="A5373" s="6">
        <f>5371</f>
        <v>5371</v>
      </c>
      <c r="B5373" s="6" t="s">
        <v>13883</v>
      </c>
      <c r="C5373" s="6" t="s">
        <v>12</v>
      </c>
      <c r="D5373" s="6" t="s">
        <v>13005</v>
      </c>
      <c r="E5373" s="6" t="s">
        <v>13757</v>
      </c>
      <c r="F5373" s="6" t="s">
        <v>13884</v>
      </c>
      <c r="G5373" s="6" t="s">
        <v>16</v>
      </c>
      <c r="H5373" s="5">
        <v>1</v>
      </c>
      <c r="I5373" s="6" t="s">
        <v>13884</v>
      </c>
      <c r="J5373" s="5">
        <v>270</v>
      </c>
    </row>
    <row r="5374" s="2" customFormat="1" spans="1:10">
      <c r="A5374" s="6">
        <f>5372</f>
        <v>5372</v>
      </c>
      <c r="B5374" s="6" t="s">
        <v>13885</v>
      </c>
      <c r="C5374" s="6" t="s">
        <v>12</v>
      </c>
      <c r="D5374" s="6" t="s">
        <v>13005</v>
      </c>
      <c r="E5374" s="6" t="s">
        <v>13757</v>
      </c>
      <c r="F5374" s="6" t="s">
        <v>13886</v>
      </c>
      <c r="G5374" s="6" t="s">
        <v>16</v>
      </c>
      <c r="H5374" s="5">
        <v>2</v>
      </c>
      <c r="I5374" s="6" t="s">
        <v>13887</v>
      </c>
      <c r="J5374" s="5">
        <v>489</v>
      </c>
    </row>
    <row r="5375" s="2" customFormat="1" ht="27" spans="1:10">
      <c r="A5375" s="6">
        <f>5373</f>
        <v>5373</v>
      </c>
      <c r="B5375" s="6" t="s">
        <v>13888</v>
      </c>
      <c r="C5375" s="6" t="s">
        <v>12</v>
      </c>
      <c r="D5375" s="6" t="s">
        <v>13005</v>
      </c>
      <c r="E5375" s="6" t="s">
        <v>13757</v>
      </c>
      <c r="F5375" s="6" t="s">
        <v>11968</v>
      </c>
      <c r="G5375" s="6" t="s">
        <v>16</v>
      </c>
      <c r="H5375" s="5">
        <v>4</v>
      </c>
      <c r="I5375" s="6" t="s">
        <v>13889</v>
      </c>
      <c r="J5375" s="5">
        <v>1040</v>
      </c>
    </row>
    <row r="5376" s="2" customFormat="1" spans="1:10">
      <c r="A5376" s="6">
        <f>5374</f>
        <v>5374</v>
      </c>
      <c r="B5376" s="6" t="s">
        <v>13890</v>
      </c>
      <c r="C5376" s="6" t="s">
        <v>12</v>
      </c>
      <c r="D5376" s="6" t="s">
        <v>13005</v>
      </c>
      <c r="E5376" s="6" t="s">
        <v>13757</v>
      </c>
      <c r="F5376" s="6" t="s">
        <v>13891</v>
      </c>
      <c r="G5376" s="6" t="s">
        <v>16</v>
      </c>
      <c r="H5376" s="5">
        <v>1</v>
      </c>
      <c r="I5376" s="6" t="s">
        <v>13891</v>
      </c>
      <c r="J5376" s="5">
        <v>275</v>
      </c>
    </row>
    <row r="5377" s="2" customFormat="1" spans="1:10">
      <c r="A5377" s="6">
        <f>5375</f>
        <v>5375</v>
      </c>
      <c r="B5377" s="6" t="s">
        <v>13892</v>
      </c>
      <c r="C5377" s="6" t="s">
        <v>12</v>
      </c>
      <c r="D5377" s="6" t="s">
        <v>13005</v>
      </c>
      <c r="E5377" s="6" t="s">
        <v>13757</v>
      </c>
      <c r="F5377" s="6" t="s">
        <v>13893</v>
      </c>
      <c r="G5377" s="6" t="s">
        <v>16</v>
      </c>
      <c r="H5377" s="5">
        <v>1</v>
      </c>
      <c r="I5377" s="6" t="s">
        <v>13893</v>
      </c>
      <c r="J5377" s="5">
        <v>313</v>
      </c>
    </row>
    <row r="5378" s="2" customFormat="1" spans="1:10">
      <c r="A5378" s="6">
        <f>5376</f>
        <v>5376</v>
      </c>
      <c r="B5378" s="6" t="s">
        <v>13894</v>
      </c>
      <c r="C5378" s="6" t="s">
        <v>12</v>
      </c>
      <c r="D5378" s="6" t="s">
        <v>13005</v>
      </c>
      <c r="E5378" s="6" t="s">
        <v>13757</v>
      </c>
      <c r="F5378" s="6" t="s">
        <v>13895</v>
      </c>
      <c r="G5378" s="6" t="s">
        <v>16</v>
      </c>
      <c r="H5378" s="5">
        <v>1</v>
      </c>
      <c r="I5378" s="6" t="s">
        <v>13895</v>
      </c>
      <c r="J5378" s="5">
        <v>316</v>
      </c>
    </row>
    <row r="5379" s="2" customFormat="1" spans="1:10">
      <c r="A5379" s="6">
        <f>5377</f>
        <v>5377</v>
      </c>
      <c r="B5379" s="6" t="s">
        <v>13896</v>
      </c>
      <c r="C5379" s="6" t="s">
        <v>12</v>
      </c>
      <c r="D5379" s="6" t="s">
        <v>13005</v>
      </c>
      <c r="E5379" s="6" t="s">
        <v>13897</v>
      </c>
      <c r="F5379" s="6" t="s">
        <v>13898</v>
      </c>
      <c r="G5379" s="6" t="s">
        <v>16</v>
      </c>
      <c r="H5379" s="5">
        <v>1</v>
      </c>
      <c r="I5379" s="6" t="s">
        <v>13898</v>
      </c>
      <c r="J5379" s="5">
        <v>620</v>
      </c>
    </row>
    <row r="5380" s="2" customFormat="1" spans="1:10">
      <c r="A5380" s="6">
        <f>5378</f>
        <v>5378</v>
      </c>
      <c r="B5380" s="6" t="s">
        <v>13899</v>
      </c>
      <c r="C5380" s="6" t="s">
        <v>12</v>
      </c>
      <c r="D5380" s="6" t="s">
        <v>13005</v>
      </c>
      <c r="E5380" s="6" t="s">
        <v>13897</v>
      </c>
      <c r="F5380" s="6" t="s">
        <v>13900</v>
      </c>
      <c r="G5380" s="6" t="s">
        <v>16</v>
      </c>
      <c r="H5380" s="5">
        <v>3</v>
      </c>
      <c r="I5380" s="6" t="s">
        <v>13901</v>
      </c>
      <c r="J5380" s="5">
        <v>894</v>
      </c>
    </row>
    <row r="5381" s="2" customFormat="1" spans="1:10">
      <c r="A5381" s="6">
        <f>5379</f>
        <v>5379</v>
      </c>
      <c r="B5381" s="6" t="s">
        <v>13902</v>
      </c>
      <c r="C5381" s="6" t="s">
        <v>12</v>
      </c>
      <c r="D5381" s="6" t="s">
        <v>13005</v>
      </c>
      <c r="E5381" s="6" t="s">
        <v>13897</v>
      </c>
      <c r="F5381" s="6" t="s">
        <v>13903</v>
      </c>
      <c r="G5381" s="6" t="s">
        <v>16</v>
      </c>
      <c r="H5381" s="5">
        <v>2</v>
      </c>
      <c r="I5381" s="6" t="s">
        <v>13904</v>
      </c>
      <c r="J5381" s="5">
        <v>920</v>
      </c>
    </row>
    <row r="5382" s="2" customFormat="1" spans="1:10">
      <c r="A5382" s="6">
        <f>5380</f>
        <v>5380</v>
      </c>
      <c r="B5382" s="6" t="s">
        <v>13905</v>
      </c>
      <c r="C5382" s="6" t="s">
        <v>12</v>
      </c>
      <c r="D5382" s="6" t="s">
        <v>13005</v>
      </c>
      <c r="E5382" s="6" t="s">
        <v>13897</v>
      </c>
      <c r="F5382" s="6" t="s">
        <v>13906</v>
      </c>
      <c r="G5382" s="6" t="s">
        <v>16</v>
      </c>
      <c r="H5382" s="5">
        <v>2</v>
      </c>
      <c r="I5382" s="6" t="s">
        <v>13907</v>
      </c>
      <c r="J5382" s="5">
        <v>1240</v>
      </c>
    </row>
    <row r="5383" s="2" customFormat="1" spans="1:10">
      <c r="A5383" s="6">
        <f>5381</f>
        <v>5381</v>
      </c>
      <c r="B5383" s="6" t="s">
        <v>13908</v>
      </c>
      <c r="C5383" s="6" t="s">
        <v>12</v>
      </c>
      <c r="D5383" s="6" t="s">
        <v>13005</v>
      </c>
      <c r="E5383" s="6" t="s">
        <v>13897</v>
      </c>
      <c r="F5383" s="6" t="s">
        <v>13909</v>
      </c>
      <c r="G5383" s="6" t="s">
        <v>16</v>
      </c>
      <c r="H5383" s="5">
        <v>3</v>
      </c>
      <c r="I5383" s="6" t="s">
        <v>13910</v>
      </c>
      <c r="J5383" s="5">
        <v>780</v>
      </c>
    </row>
    <row r="5384" s="2" customFormat="1" spans="1:10">
      <c r="A5384" s="6">
        <f>5382</f>
        <v>5382</v>
      </c>
      <c r="B5384" s="6" t="s">
        <v>13911</v>
      </c>
      <c r="C5384" s="6" t="s">
        <v>12</v>
      </c>
      <c r="D5384" s="6" t="s">
        <v>13005</v>
      </c>
      <c r="E5384" s="6" t="s">
        <v>13897</v>
      </c>
      <c r="F5384" s="6" t="s">
        <v>13912</v>
      </c>
      <c r="G5384" s="6" t="s">
        <v>16</v>
      </c>
      <c r="H5384" s="5">
        <v>2</v>
      </c>
      <c r="I5384" s="6" t="s">
        <v>13913</v>
      </c>
      <c r="J5384" s="5">
        <v>520</v>
      </c>
    </row>
    <row r="5385" s="2" customFormat="1" spans="1:10">
      <c r="A5385" s="6">
        <f>5383</f>
        <v>5383</v>
      </c>
      <c r="B5385" s="6" t="s">
        <v>13914</v>
      </c>
      <c r="C5385" s="6" t="s">
        <v>12</v>
      </c>
      <c r="D5385" s="6" t="s">
        <v>13005</v>
      </c>
      <c r="E5385" s="6" t="s">
        <v>13897</v>
      </c>
      <c r="F5385" s="6" t="s">
        <v>13915</v>
      </c>
      <c r="G5385" s="6" t="s">
        <v>16</v>
      </c>
      <c r="H5385" s="5">
        <v>3</v>
      </c>
      <c r="I5385" s="6" t="s">
        <v>13916</v>
      </c>
      <c r="J5385" s="5">
        <v>1380</v>
      </c>
    </row>
    <row r="5386" s="2" customFormat="1" spans="1:10">
      <c r="A5386" s="6">
        <f>5384</f>
        <v>5384</v>
      </c>
      <c r="B5386" s="6" t="s">
        <v>13917</v>
      </c>
      <c r="C5386" s="6" t="s">
        <v>12</v>
      </c>
      <c r="D5386" s="6" t="s">
        <v>13005</v>
      </c>
      <c r="E5386" s="6" t="s">
        <v>13897</v>
      </c>
      <c r="F5386" s="6" t="s">
        <v>13918</v>
      </c>
      <c r="G5386" s="6" t="s">
        <v>16</v>
      </c>
      <c r="H5386" s="5">
        <v>3</v>
      </c>
      <c r="I5386" s="6" t="s">
        <v>13919</v>
      </c>
      <c r="J5386" s="5">
        <v>530</v>
      </c>
    </row>
    <row r="5387" s="2" customFormat="1" spans="1:10">
      <c r="A5387" s="6">
        <f>5385</f>
        <v>5385</v>
      </c>
      <c r="B5387" s="6" t="s">
        <v>13920</v>
      </c>
      <c r="C5387" s="6" t="s">
        <v>12</v>
      </c>
      <c r="D5387" s="6" t="s">
        <v>13005</v>
      </c>
      <c r="E5387" s="6" t="s">
        <v>13897</v>
      </c>
      <c r="F5387" s="6" t="s">
        <v>13921</v>
      </c>
      <c r="G5387" s="6" t="s">
        <v>16</v>
      </c>
      <c r="H5387" s="5">
        <v>1</v>
      </c>
      <c r="I5387" s="6" t="s">
        <v>13921</v>
      </c>
      <c r="J5387" s="5">
        <v>220</v>
      </c>
    </row>
    <row r="5388" s="2" customFormat="1" ht="27" spans="1:10">
      <c r="A5388" s="6">
        <f>5386</f>
        <v>5386</v>
      </c>
      <c r="B5388" s="6" t="s">
        <v>13922</v>
      </c>
      <c r="C5388" s="6" t="s">
        <v>12</v>
      </c>
      <c r="D5388" s="6" t="s">
        <v>13005</v>
      </c>
      <c r="E5388" s="6" t="s">
        <v>13897</v>
      </c>
      <c r="F5388" s="6" t="s">
        <v>13923</v>
      </c>
      <c r="G5388" s="6" t="s">
        <v>16</v>
      </c>
      <c r="H5388" s="5">
        <v>4</v>
      </c>
      <c r="I5388" s="6" t="s">
        <v>13924</v>
      </c>
      <c r="J5388" s="5">
        <v>530</v>
      </c>
    </row>
    <row r="5389" s="2" customFormat="1" spans="1:10">
      <c r="A5389" s="6">
        <f>5387</f>
        <v>5387</v>
      </c>
      <c r="B5389" s="6" t="s">
        <v>13925</v>
      </c>
      <c r="C5389" s="6" t="s">
        <v>12</v>
      </c>
      <c r="D5389" s="6" t="s">
        <v>13005</v>
      </c>
      <c r="E5389" s="6" t="s">
        <v>13897</v>
      </c>
      <c r="F5389" s="6" t="s">
        <v>13926</v>
      </c>
      <c r="G5389" s="6" t="s">
        <v>16</v>
      </c>
      <c r="H5389" s="5">
        <v>1</v>
      </c>
      <c r="I5389" s="6" t="s">
        <v>13926</v>
      </c>
      <c r="J5389" s="5">
        <v>210</v>
      </c>
    </row>
    <row r="5390" s="2" customFormat="1" spans="1:10">
      <c r="A5390" s="6">
        <f>5388</f>
        <v>5388</v>
      </c>
      <c r="B5390" s="6" t="s">
        <v>13927</v>
      </c>
      <c r="C5390" s="6" t="s">
        <v>12</v>
      </c>
      <c r="D5390" s="6" t="s">
        <v>13005</v>
      </c>
      <c r="E5390" s="6" t="s">
        <v>13897</v>
      </c>
      <c r="F5390" s="6" t="s">
        <v>13928</v>
      </c>
      <c r="G5390" s="6" t="s">
        <v>16</v>
      </c>
      <c r="H5390" s="5">
        <v>3</v>
      </c>
      <c r="I5390" s="6" t="s">
        <v>13929</v>
      </c>
      <c r="J5390" s="5">
        <v>780</v>
      </c>
    </row>
    <row r="5391" s="2" customFormat="1" spans="1:10">
      <c r="A5391" s="6">
        <f>5389</f>
        <v>5389</v>
      </c>
      <c r="B5391" s="6" t="s">
        <v>13930</v>
      </c>
      <c r="C5391" s="6" t="s">
        <v>12</v>
      </c>
      <c r="D5391" s="6" t="s">
        <v>13005</v>
      </c>
      <c r="E5391" s="6" t="s">
        <v>13897</v>
      </c>
      <c r="F5391" s="6" t="s">
        <v>13931</v>
      </c>
      <c r="G5391" s="6" t="s">
        <v>16</v>
      </c>
      <c r="H5391" s="5">
        <v>1</v>
      </c>
      <c r="I5391" s="6" t="s">
        <v>13931</v>
      </c>
      <c r="J5391" s="5">
        <v>220</v>
      </c>
    </row>
    <row r="5392" s="2" customFormat="1" spans="1:10">
      <c r="A5392" s="6">
        <f>5390</f>
        <v>5390</v>
      </c>
      <c r="B5392" s="6" t="s">
        <v>13932</v>
      </c>
      <c r="C5392" s="6" t="s">
        <v>12</v>
      </c>
      <c r="D5392" s="6" t="s">
        <v>13005</v>
      </c>
      <c r="E5392" s="6" t="s">
        <v>13897</v>
      </c>
      <c r="F5392" s="6" t="s">
        <v>13933</v>
      </c>
      <c r="G5392" s="6" t="s">
        <v>16</v>
      </c>
      <c r="H5392" s="5">
        <v>3</v>
      </c>
      <c r="I5392" s="6" t="s">
        <v>13934</v>
      </c>
      <c r="J5392" s="5">
        <v>560</v>
      </c>
    </row>
    <row r="5393" s="2" customFormat="1" spans="1:10">
      <c r="A5393" s="6">
        <f>5391</f>
        <v>5391</v>
      </c>
      <c r="B5393" s="6" t="s">
        <v>13935</v>
      </c>
      <c r="C5393" s="6" t="s">
        <v>12</v>
      </c>
      <c r="D5393" s="6" t="s">
        <v>13005</v>
      </c>
      <c r="E5393" s="6" t="s">
        <v>13897</v>
      </c>
      <c r="F5393" s="6" t="s">
        <v>13936</v>
      </c>
      <c r="G5393" s="6" t="s">
        <v>16</v>
      </c>
      <c r="H5393" s="5">
        <v>2</v>
      </c>
      <c r="I5393" s="6" t="s">
        <v>13937</v>
      </c>
      <c r="J5393" s="5">
        <v>960</v>
      </c>
    </row>
    <row r="5394" s="2" customFormat="1" spans="1:10">
      <c r="A5394" s="6">
        <f>5392</f>
        <v>5392</v>
      </c>
      <c r="B5394" s="6" t="s">
        <v>13938</v>
      </c>
      <c r="C5394" s="6" t="s">
        <v>12</v>
      </c>
      <c r="D5394" s="6" t="s">
        <v>13005</v>
      </c>
      <c r="E5394" s="6" t="s">
        <v>13897</v>
      </c>
      <c r="F5394" s="6" t="s">
        <v>2838</v>
      </c>
      <c r="G5394" s="6" t="s">
        <v>16</v>
      </c>
      <c r="H5394" s="5">
        <v>2</v>
      </c>
      <c r="I5394" s="6" t="s">
        <v>13939</v>
      </c>
      <c r="J5394" s="5">
        <v>420</v>
      </c>
    </row>
    <row r="5395" s="2" customFormat="1" ht="27" spans="1:10">
      <c r="A5395" s="6">
        <f>5393</f>
        <v>5393</v>
      </c>
      <c r="B5395" s="6" t="s">
        <v>13940</v>
      </c>
      <c r="C5395" s="6" t="s">
        <v>12</v>
      </c>
      <c r="D5395" s="6" t="s">
        <v>13005</v>
      </c>
      <c r="E5395" s="6" t="s">
        <v>13897</v>
      </c>
      <c r="F5395" s="6" t="s">
        <v>13941</v>
      </c>
      <c r="G5395" s="6" t="s">
        <v>16</v>
      </c>
      <c r="H5395" s="5">
        <v>5</v>
      </c>
      <c r="I5395" s="6" t="s">
        <v>13942</v>
      </c>
      <c r="J5395" s="5">
        <v>900</v>
      </c>
    </row>
    <row r="5396" s="2" customFormat="1" spans="1:10">
      <c r="A5396" s="6">
        <f>5394</f>
        <v>5394</v>
      </c>
      <c r="B5396" s="6" t="s">
        <v>13943</v>
      </c>
      <c r="C5396" s="6" t="s">
        <v>12</v>
      </c>
      <c r="D5396" s="6" t="s">
        <v>13005</v>
      </c>
      <c r="E5396" s="6" t="s">
        <v>13897</v>
      </c>
      <c r="F5396" s="6" t="s">
        <v>13944</v>
      </c>
      <c r="G5396" s="6" t="s">
        <v>16</v>
      </c>
      <c r="H5396" s="5">
        <v>3</v>
      </c>
      <c r="I5396" s="6" t="s">
        <v>13945</v>
      </c>
      <c r="J5396" s="5">
        <v>1320</v>
      </c>
    </row>
    <row r="5397" s="2" customFormat="1" ht="27" spans="1:10">
      <c r="A5397" s="6">
        <f>5395</f>
        <v>5395</v>
      </c>
      <c r="B5397" s="6" t="s">
        <v>13946</v>
      </c>
      <c r="C5397" s="6" t="s">
        <v>12</v>
      </c>
      <c r="D5397" s="6" t="s">
        <v>13005</v>
      </c>
      <c r="E5397" s="6" t="s">
        <v>13897</v>
      </c>
      <c r="F5397" s="6" t="s">
        <v>13947</v>
      </c>
      <c r="G5397" s="6" t="s">
        <v>16</v>
      </c>
      <c r="H5397" s="5">
        <v>4</v>
      </c>
      <c r="I5397" s="6" t="s">
        <v>13948</v>
      </c>
      <c r="J5397" s="5">
        <v>740</v>
      </c>
    </row>
    <row r="5398" s="2" customFormat="1" spans="1:10">
      <c r="A5398" s="6">
        <f>5396</f>
        <v>5396</v>
      </c>
      <c r="B5398" s="6" t="s">
        <v>13949</v>
      </c>
      <c r="C5398" s="6" t="s">
        <v>12</v>
      </c>
      <c r="D5398" s="6" t="s">
        <v>13005</v>
      </c>
      <c r="E5398" s="6" t="s">
        <v>13897</v>
      </c>
      <c r="F5398" s="6" t="s">
        <v>13950</v>
      </c>
      <c r="G5398" s="6" t="s">
        <v>16</v>
      </c>
      <c r="H5398" s="5">
        <v>1</v>
      </c>
      <c r="I5398" s="6" t="s">
        <v>13950</v>
      </c>
      <c r="J5398" s="5">
        <v>260</v>
      </c>
    </row>
    <row r="5399" s="2" customFormat="1" spans="1:10">
      <c r="A5399" s="6">
        <f>5397</f>
        <v>5397</v>
      </c>
      <c r="B5399" s="6" t="s">
        <v>13951</v>
      </c>
      <c r="C5399" s="6" t="s">
        <v>12</v>
      </c>
      <c r="D5399" s="6" t="s">
        <v>13005</v>
      </c>
      <c r="E5399" s="6" t="s">
        <v>13897</v>
      </c>
      <c r="F5399" s="6" t="s">
        <v>13952</v>
      </c>
      <c r="G5399" s="6" t="s">
        <v>16</v>
      </c>
      <c r="H5399" s="5">
        <v>1</v>
      </c>
      <c r="I5399" s="6" t="s">
        <v>13952</v>
      </c>
      <c r="J5399" s="5">
        <v>210</v>
      </c>
    </row>
    <row r="5400" s="2" customFormat="1" spans="1:10">
      <c r="A5400" s="6">
        <f>5398</f>
        <v>5398</v>
      </c>
      <c r="B5400" s="6" t="s">
        <v>13953</v>
      </c>
      <c r="C5400" s="6" t="s">
        <v>12</v>
      </c>
      <c r="D5400" s="6" t="s">
        <v>13005</v>
      </c>
      <c r="E5400" s="6" t="s">
        <v>13897</v>
      </c>
      <c r="F5400" s="6" t="s">
        <v>13954</v>
      </c>
      <c r="G5400" s="6" t="s">
        <v>16</v>
      </c>
      <c r="H5400" s="5">
        <v>1</v>
      </c>
      <c r="I5400" s="6" t="s">
        <v>13954</v>
      </c>
      <c r="J5400" s="5">
        <v>620</v>
      </c>
    </row>
    <row r="5401" s="2" customFormat="1" spans="1:10">
      <c r="A5401" s="6">
        <f>5399</f>
        <v>5399</v>
      </c>
      <c r="B5401" s="6" t="s">
        <v>13955</v>
      </c>
      <c r="C5401" s="6" t="s">
        <v>12</v>
      </c>
      <c r="D5401" s="6" t="s">
        <v>13005</v>
      </c>
      <c r="E5401" s="6" t="s">
        <v>13897</v>
      </c>
      <c r="F5401" s="6" t="s">
        <v>2097</v>
      </c>
      <c r="G5401" s="6" t="s">
        <v>16</v>
      </c>
      <c r="H5401" s="5">
        <v>3</v>
      </c>
      <c r="I5401" s="6" t="s">
        <v>13956</v>
      </c>
      <c r="J5401" s="5">
        <v>980</v>
      </c>
    </row>
    <row r="5402" s="2" customFormat="1" spans="1:10">
      <c r="A5402" s="6">
        <f>5400</f>
        <v>5400</v>
      </c>
      <c r="B5402" s="6" t="s">
        <v>13957</v>
      </c>
      <c r="C5402" s="6" t="s">
        <v>12</v>
      </c>
      <c r="D5402" s="6" t="s">
        <v>13005</v>
      </c>
      <c r="E5402" s="6" t="s">
        <v>13897</v>
      </c>
      <c r="F5402" s="6" t="s">
        <v>13958</v>
      </c>
      <c r="G5402" s="6" t="s">
        <v>16</v>
      </c>
      <c r="H5402" s="5">
        <v>1</v>
      </c>
      <c r="I5402" s="6" t="s">
        <v>13958</v>
      </c>
      <c r="J5402" s="5">
        <v>340</v>
      </c>
    </row>
    <row r="5403" s="2" customFormat="1" spans="1:10">
      <c r="A5403" s="6">
        <f>5401</f>
        <v>5401</v>
      </c>
      <c r="B5403" s="6" t="s">
        <v>13959</v>
      </c>
      <c r="C5403" s="6" t="s">
        <v>12</v>
      </c>
      <c r="D5403" s="6" t="s">
        <v>13005</v>
      </c>
      <c r="E5403" s="6" t="s">
        <v>13897</v>
      </c>
      <c r="F5403" s="6" t="s">
        <v>6975</v>
      </c>
      <c r="G5403" s="6" t="s">
        <v>16</v>
      </c>
      <c r="H5403" s="5">
        <v>1</v>
      </c>
      <c r="I5403" s="6" t="s">
        <v>6975</v>
      </c>
      <c r="J5403" s="5">
        <v>620</v>
      </c>
    </row>
    <row r="5404" s="2" customFormat="1" spans="1:10">
      <c r="A5404" s="6">
        <f>5402</f>
        <v>5402</v>
      </c>
      <c r="B5404" s="6" t="s">
        <v>13960</v>
      </c>
      <c r="C5404" s="6" t="s">
        <v>12</v>
      </c>
      <c r="D5404" s="6" t="s">
        <v>13005</v>
      </c>
      <c r="E5404" s="6" t="s">
        <v>13897</v>
      </c>
      <c r="F5404" s="6" t="s">
        <v>13950</v>
      </c>
      <c r="G5404" s="6" t="s">
        <v>16</v>
      </c>
      <c r="H5404" s="5">
        <v>1</v>
      </c>
      <c r="I5404" s="6" t="s">
        <v>13950</v>
      </c>
      <c r="J5404" s="5">
        <v>620</v>
      </c>
    </row>
    <row r="5405" s="2" customFormat="1" spans="1:10">
      <c r="A5405" s="6">
        <f>5403</f>
        <v>5403</v>
      </c>
      <c r="B5405" s="6" t="s">
        <v>13961</v>
      </c>
      <c r="C5405" s="6" t="s">
        <v>12</v>
      </c>
      <c r="D5405" s="6" t="s">
        <v>13005</v>
      </c>
      <c r="E5405" s="6" t="s">
        <v>13897</v>
      </c>
      <c r="F5405" s="6" t="s">
        <v>13962</v>
      </c>
      <c r="G5405" s="6" t="s">
        <v>16</v>
      </c>
      <c r="H5405" s="5">
        <v>1</v>
      </c>
      <c r="I5405" s="6" t="s">
        <v>13962</v>
      </c>
      <c r="J5405" s="5">
        <v>620</v>
      </c>
    </row>
    <row r="5406" s="2" customFormat="1" ht="27" spans="1:10">
      <c r="A5406" s="6">
        <f>5404</f>
        <v>5404</v>
      </c>
      <c r="B5406" s="6" t="s">
        <v>13963</v>
      </c>
      <c r="C5406" s="6" t="s">
        <v>12</v>
      </c>
      <c r="D5406" s="6" t="s">
        <v>13005</v>
      </c>
      <c r="E5406" s="6" t="s">
        <v>13897</v>
      </c>
      <c r="F5406" s="6" t="s">
        <v>13964</v>
      </c>
      <c r="G5406" s="6" t="s">
        <v>16</v>
      </c>
      <c r="H5406" s="5">
        <v>6</v>
      </c>
      <c r="I5406" s="6" t="s">
        <v>13965</v>
      </c>
      <c r="J5406" s="5">
        <v>1360</v>
      </c>
    </row>
    <row r="5407" s="2" customFormat="1" spans="1:10">
      <c r="A5407" s="6">
        <f>5405</f>
        <v>5405</v>
      </c>
      <c r="B5407" s="6" t="s">
        <v>13966</v>
      </c>
      <c r="C5407" s="6" t="s">
        <v>12</v>
      </c>
      <c r="D5407" s="6" t="s">
        <v>13005</v>
      </c>
      <c r="E5407" s="6" t="s">
        <v>13897</v>
      </c>
      <c r="F5407" s="6" t="s">
        <v>13967</v>
      </c>
      <c r="G5407" s="6" t="s">
        <v>16</v>
      </c>
      <c r="H5407" s="5">
        <v>1</v>
      </c>
      <c r="I5407" s="6" t="s">
        <v>13967</v>
      </c>
      <c r="J5407" s="5">
        <v>480</v>
      </c>
    </row>
    <row r="5408" s="2" customFormat="1" ht="27" spans="1:10">
      <c r="A5408" s="6">
        <f>5406</f>
        <v>5406</v>
      </c>
      <c r="B5408" s="6" t="s">
        <v>13968</v>
      </c>
      <c r="C5408" s="6" t="s">
        <v>12</v>
      </c>
      <c r="D5408" s="6" t="s">
        <v>13005</v>
      </c>
      <c r="E5408" s="6" t="s">
        <v>13897</v>
      </c>
      <c r="F5408" s="6" t="s">
        <v>13969</v>
      </c>
      <c r="G5408" s="6" t="s">
        <v>16</v>
      </c>
      <c r="H5408" s="5">
        <v>6</v>
      </c>
      <c r="I5408" s="6" t="s">
        <v>13970</v>
      </c>
      <c r="J5408" s="5">
        <v>2040</v>
      </c>
    </row>
    <row r="5409" s="2" customFormat="1" spans="1:10">
      <c r="A5409" s="6">
        <f>5407</f>
        <v>5407</v>
      </c>
      <c r="B5409" s="6" t="s">
        <v>13971</v>
      </c>
      <c r="C5409" s="6" t="s">
        <v>12</v>
      </c>
      <c r="D5409" s="6" t="s">
        <v>13005</v>
      </c>
      <c r="E5409" s="6" t="s">
        <v>13897</v>
      </c>
      <c r="F5409" s="6" t="s">
        <v>13972</v>
      </c>
      <c r="G5409" s="6" t="s">
        <v>16</v>
      </c>
      <c r="H5409" s="5">
        <v>3</v>
      </c>
      <c r="I5409" s="6" t="s">
        <v>13973</v>
      </c>
      <c r="J5409" s="5">
        <v>780</v>
      </c>
    </row>
    <row r="5410" s="2" customFormat="1" ht="40.5" spans="1:10">
      <c r="A5410" s="6">
        <f>5408</f>
        <v>5408</v>
      </c>
      <c r="B5410" s="6" t="s">
        <v>13974</v>
      </c>
      <c r="C5410" s="6" t="s">
        <v>12</v>
      </c>
      <c r="D5410" s="6" t="s">
        <v>13005</v>
      </c>
      <c r="E5410" s="6" t="s">
        <v>13897</v>
      </c>
      <c r="F5410" s="6" t="s">
        <v>13975</v>
      </c>
      <c r="G5410" s="6" t="s">
        <v>16</v>
      </c>
      <c r="H5410" s="5">
        <v>7</v>
      </c>
      <c r="I5410" s="6" t="s">
        <v>13976</v>
      </c>
      <c r="J5410" s="5">
        <v>3080</v>
      </c>
    </row>
    <row r="5411" s="2" customFormat="1" spans="1:10">
      <c r="A5411" s="6">
        <f>5409</f>
        <v>5409</v>
      </c>
      <c r="B5411" s="6" t="s">
        <v>13977</v>
      </c>
      <c r="C5411" s="6" t="s">
        <v>12</v>
      </c>
      <c r="D5411" s="6" t="s">
        <v>13005</v>
      </c>
      <c r="E5411" s="6" t="s">
        <v>13897</v>
      </c>
      <c r="F5411" s="6" t="s">
        <v>13978</v>
      </c>
      <c r="G5411" s="6" t="s">
        <v>16</v>
      </c>
      <c r="H5411" s="5">
        <v>3</v>
      </c>
      <c r="I5411" s="6" t="s">
        <v>13979</v>
      </c>
      <c r="J5411" s="5">
        <v>920</v>
      </c>
    </row>
    <row r="5412" s="2" customFormat="1" ht="27" spans="1:10">
      <c r="A5412" s="6">
        <f>5410</f>
        <v>5410</v>
      </c>
      <c r="B5412" s="6" t="s">
        <v>13980</v>
      </c>
      <c r="C5412" s="6" t="s">
        <v>12</v>
      </c>
      <c r="D5412" s="6" t="s">
        <v>13005</v>
      </c>
      <c r="E5412" s="6" t="s">
        <v>13897</v>
      </c>
      <c r="F5412" s="6" t="s">
        <v>12769</v>
      </c>
      <c r="G5412" s="6" t="s">
        <v>16</v>
      </c>
      <c r="H5412" s="5">
        <v>5</v>
      </c>
      <c r="I5412" s="6" t="s">
        <v>13981</v>
      </c>
      <c r="J5412" s="5">
        <v>850</v>
      </c>
    </row>
    <row r="5413" s="2" customFormat="1" ht="27" spans="1:10">
      <c r="A5413" s="6">
        <f>5411</f>
        <v>5411</v>
      </c>
      <c r="B5413" s="6" t="s">
        <v>13982</v>
      </c>
      <c r="C5413" s="6" t="s">
        <v>12</v>
      </c>
      <c r="D5413" s="6" t="s">
        <v>13005</v>
      </c>
      <c r="E5413" s="6" t="s">
        <v>13897</v>
      </c>
      <c r="F5413" s="6" t="s">
        <v>13983</v>
      </c>
      <c r="G5413" s="6" t="s">
        <v>16</v>
      </c>
      <c r="H5413" s="5">
        <v>6</v>
      </c>
      <c r="I5413" s="6" t="s">
        <v>13984</v>
      </c>
      <c r="J5413" s="5">
        <v>1540</v>
      </c>
    </row>
    <row r="5414" s="2" customFormat="1" spans="1:10">
      <c r="A5414" s="6">
        <f>5412</f>
        <v>5412</v>
      </c>
      <c r="B5414" s="6" t="s">
        <v>13985</v>
      </c>
      <c r="C5414" s="6" t="s">
        <v>12</v>
      </c>
      <c r="D5414" s="6" t="s">
        <v>13005</v>
      </c>
      <c r="E5414" s="6" t="s">
        <v>13897</v>
      </c>
      <c r="F5414" s="6" t="s">
        <v>13986</v>
      </c>
      <c r="G5414" s="6" t="s">
        <v>16</v>
      </c>
      <c r="H5414" s="5">
        <v>1</v>
      </c>
      <c r="I5414" s="6" t="s">
        <v>13986</v>
      </c>
      <c r="J5414" s="5">
        <v>480</v>
      </c>
    </row>
    <row r="5415" s="2" customFormat="1" spans="1:10">
      <c r="A5415" s="6">
        <f>5413</f>
        <v>5413</v>
      </c>
      <c r="B5415" s="6" t="s">
        <v>13987</v>
      </c>
      <c r="C5415" s="6" t="s">
        <v>12</v>
      </c>
      <c r="D5415" s="6" t="s">
        <v>13005</v>
      </c>
      <c r="E5415" s="6" t="s">
        <v>13897</v>
      </c>
      <c r="F5415" s="6" t="s">
        <v>13988</v>
      </c>
      <c r="G5415" s="6" t="s">
        <v>16</v>
      </c>
      <c r="H5415" s="5">
        <v>1</v>
      </c>
      <c r="I5415" s="6" t="s">
        <v>13988</v>
      </c>
      <c r="J5415" s="5">
        <v>480</v>
      </c>
    </row>
    <row r="5416" s="2" customFormat="1" spans="1:10">
      <c r="A5416" s="6">
        <f>5414</f>
        <v>5414</v>
      </c>
      <c r="B5416" s="6" t="s">
        <v>13989</v>
      </c>
      <c r="C5416" s="6" t="s">
        <v>12</v>
      </c>
      <c r="D5416" s="6" t="s">
        <v>13005</v>
      </c>
      <c r="E5416" s="6" t="s">
        <v>13897</v>
      </c>
      <c r="F5416" s="6" t="s">
        <v>13990</v>
      </c>
      <c r="G5416" s="6" t="s">
        <v>16</v>
      </c>
      <c r="H5416" s="5">
        <v>1</v>
      </c>
      <c r="I5416" s="6" t="s">
        <v>13990</v>
      </c>
      <c r="J5416" s="5">
        <v>402</v>
      </c>
    </row>
    <row r="5417" s="2" customFormat="1" spans="1:10">
      <c r="A5417" s="6">
        <f>5415</f>
        <v>5415</v>
      </c>
      <c r="B5417" s="6" t="s">
        <v>13991</v>
      </c>
      <c r="C5417" s="6" t="s">
        <v>12</v>
      </c>
      <c r="D5417" s="6" t="s">
        <v>13005</v>
      </c>
      <c r="E5417" s="6" t="s">
        <v>13897</v>
      </c>
      <c r="F5417" s="6" t="s">
        <v>13992</v>
      </c>
      <c r="G5417" s="6" t="s">
        <v>16</v>
      </c>
      <c r="H5417" s="5">
        <v>1</v>
      </c>
      <c r="I5417" s="6" t="s">
        <v>13992</v>
      </c>
      <c r="J5417" s="5">
        <v>360</v>
      </c>
    </row>
    <row r="5418" s="2" customFormat="1" ht="27" spans="1:10">
      <c r="A5418" s="6">
        <f>5416</f>
        <v>5416</v>
      </c>
      <c r="B5418" s="6" t="s">
        <v>13993</v>
      </c>
      <c r="C5418" s="6" t="s">
        <v>12</v>
      </c>
      <c r="D5418" s="6" t="s">
        <v>13005</v>
      </c>
      <c r="E5418" s="6" t="s">
        <v>13897</v>
      </c>
      <c r="F5418" s="6" t="s">
        <v>13994</v>
      </c>
      <c r="G5418" s="6" t="s">
        <v>16</v>
      </c>
      <c r="H5418" s="5">
        <v>5</v>
      </c>
      <c r="I5418" s="6" t="s">
        <v>13995</v>
      </c>
      <c r="J5418" s="5">
        <v>1000</v>
      </c>
    </row>
    <row r="5419" s="2" customFormat="1" spans="1:10">
      <c r="A5419" s="6">
        <f>5417</f>
        <v>5417</v>
      </c>
      <c r="B5419" s="6" t="s">
        <v>13996</v>
      </c>
      <c r="C5419" s="6" t="s">
        <v>12</v>
      </c>
      <c r="D5419" s="6" t="s">
        <v>13005</v>
      </c>
      <c r="E5419" s="6" t="s">
        <v>13897</v>
      </c>
      <c r="F5419" s="6" t="s">
        <v>13997</v>
      </c>
      <c r="G5419" s="6" t="s">
        <v>16</v>
      </c>
      <c r="H5419" s="5">
        <v>2</v>
      </c>
      <c r="I5419" s="6" t="s">
        <v>13998</v>
      </c>
      <c r="J5419" s="5">
        <v>920</v>
      </c>
    </row>
    <row r="5420" s="2" customFormat="1" spans="1:10">
      <c r="A5420" s="6">
        <f>5418</f>
        <v>5418</v>
      </c>
      <c r="B5420" s="6" t="s">
        <v>13999</v>
      </c>
      <c r="C5420" s="6" t="s">
        <v>12</v>
      </c>
      <c r="D5420" s="6" t="s">
        <v>13005</v>
      </c>
      <c r="E5420" s="6" t="s">
        <v>13897</v>
      </c>
      <c r="F5420" s="6" t="s">
        <v>14000</v>
      </c>
      <c r="G5420" s="6" t="s">
        <v>16</v>
      </c>
      <c r="H5420" s="5">
        <v>2</v>
      </c>
      <c r="I5420" s="6" t="s">
        <v>14001</v>
      </c>
      <c r="J5420" s="5">
        <v>480</v>
      </c>
    </row>
    <row r="5421" s="2" customFormat="1" ht="27" spans="1:10">
      <c r="A5421" s="6">
        <f>5419</f>
        <v>5419</v>
      </c>
      <c r="B5421" s="6" t="s">
        <v>14002</v>
      </c>
      <c r="C5421" s="6" t="s">
        <v>12</v>
      </c>
      <c r="D5421" s="6" t="s">
        <v>13005</v>
      </c>
      <c r="E5421" s="6" t="s">
        <v>13897</v>
      </c>
      <c r="F5421" s="6" t="s">
        <v>14003</v>
      </c>
      <c r="G5421" s="6" t="s">
        <v>16</v>
      </c>
      <c r="H5421" s="5">
        <v>4</v>
      </c>
      <c r="I5421" s="6" t="s">
        <v>14004</v>
      </c>
      <c r="J5421" s="5">
        <v>1160</v>
      </c>
    </row>
    <row r="5422" s="2" customFormat="1" spans="1:10">
      <c r="A5422" s="6">
        <f>5420</f>
        <v>5420</v>
      </c>
      <c r="B5422" s="6" t="s">
        <v>14005</v>
      </c>
      <c r="C5422" s="6" t="s">
        <v>12</v>
      </c>
      <c r="D5422" s="6" t="s">
        <v>13005</v>
      </c>
      <c r="E5422" s="6" t="s">
        <v>13897</v>
      </c>
      <c r="F5422" s="6" t="s">
        <v>14006</v>
      </c>
      <c r="G5422" s="6" t="s">
        <v>16</v>
      </c>
      <c r="H5422" s="5">
        <v>3</v>
      </c>
      <c r="I5422" s="6" t="s">
        <v>14007</v>
      </c>
      <c r="J5422" s="5">
        <v>1620</v>
      </c>
    </row>
    <row r="5423" s="2" customFormat="1" spans="1:10">
      <c r="A5423" s="6">
        <f>5421</f>
        <v>5421</v>
      </c>
      <c r="B5423" s="6" t="s">
        <v>14008</v>
      </c>
      <c r="C5423" s="6" t="s">
        <v>12</v>
      </c>
      <c r="D5423" s="6" t="s">
        <v>13005</v>
      </c>
      <c r="E5423" s="6" t="s">
        <v>13897</v>
      </c>
      <c r="F5423" s="6" t="s">
        <v>14009</v>
      </c>
      <c r="G5423" s="6" t="s">
        <v>16</v>
      </c>
      <c r="H5423" s="5">
        <v>3</v>
      </c>
      <c r="I5423" s="6" t="s">
        <v>14010</v>
      </c>
      <c r="J5423" s="5">
        <v>1120</v>
      </c>
    </row>
    <row r="5424" s="2" customFormat="1" spans="1:10">
      <c r="A5424" s="6">
        <f>5422</f>
        <v>5422</v>
      </c>
      <c r="B5424" s="6" t="s">
        <v>14011</v>
      </c>
      <c r="C5424" s="6" t="s">
        <v>12</v>
      </c>
      <c r="D5424" s="6" t="s">
        <v>13005</v>
      </c>
      <c r="E5424" s="6" t="s">
        <v>13897</v>
      </c>
      <c r="F5424" s="6" t="s">
        <v>14012</v>
      </c>
      <c r="G5424" s="6" t="s">
        <v>16</v>
      </c>
      <c r="H5424" s="5">
        <v>2</v>
      </c>
      <c r="I5424" s="6" t="s">
        <v>14013</v>
      </c>
      <c r="J5424" s="5">
        <v>620</v>
      </c>
    </row>
    <row r="5425" s="2" customFormat="1" spans="1:10">
      <c r="A5425" s="6">
        <f>5423</f>
        <v>5423</v>
      </c>
      <c r="B5425" s="6" t="s">
        <v>14014</v>
      </c>
      <c r="C5425" s="6" t="s">
        <v>12</v>
      </c>
      <c r="D5425" s="6" t="s">
        <v>13005</v>
      </c>
      <c r="E5425" s="6" t="s">
        <v>13897</v>
      </c>
      <c r="F5425" s="6" t="s">
        <v>14015</v>
      </c>
      <c r="G5425" s="6" t="s">
        <v>16</v>
      </c>
      <c r="H5425" s="5">
        <v>2</v>
      </c>
      <c r="I5425" s="6" t="s">
        <v>14016</v>
      </c>
      <c r="J5425" s="5">
        <v>484</v>
      </c>
    </row>
    <row r="5426" s="2" customFormat="1" ht="27" spans="1:10">
      <c r="A5426" s="6">
        <f>5424</f>
        <v>5424</v>
      </c>
      <c r="B5426" s="6" t="s">
        <v>14017</v>
      </c>
      <c r="C5426" s="6" t="s">
        <v>12</v>
      </c>
      <c r="D5426" s="6" t="s">
        <v>13005</v>
      </c>
      <c r="E5426" s="6" t="s">
        <v>13897</v>
      </c>
      <c r="F5426" s="6" t="s">
        <v>2001</v>
      </c>
      <c r="G5426" s="6" t="s">
        <v>16</v>
      </c>
      <c r="H5426" s="5">
        <v>6</v>
      </c>
      <c r="I5426" s="6" t="s">
        <v>14018</v>
      </c>
      <c r="J5426" s="5">
        <v>1060</v>
      </c>
    </row>
    <row r="5427" s="2" customFormat="1" spans="1:10">
      <c r="A5427" s="6">
        <f>5425</f>
        <v>5425</v>
      </c>
      <c r="B5427" s="6" t="s">
        <v>14019</v>
      </c>
      <c r="C5427" s="6" t="s">
        <v>12</v>
      </c>
      <c r="D5427" s="6" t="s">
        <v>13005</v>
      </c>
      <c r="E5427" s="6" t="s">
        <v>13897</v>
      </c>
      <c r="F5427" s="6" t="s">
        <v>14020</v>
      </c>
      <c r="G5427" s="6" t="s">
        <v>16</v>
      </c>
      <c r="H5427" s="5">
        <v>2</v>
      </c>
      <c r="I5427" s="6" t="s">
        <v>14021</v>
      </c>
      <c r="J5427" s="5">
        <v>718</v>
      </c>
    </row>
    <row r="5428" s="2" customFormat="1" spans="1:10">
      <c r="A5428" s="6">
        <f>5426</f>
        <v>5426</v>
      </c>
      <c r="B5428" s="6" t="s">
        <v>14022</v>
      </c>
      <c r="C5428" s="6" t="s">
        <v>12</v>
      </c>
      <c r="D5428" s="6" t="s">
        <v>13005</v>
      </c>
      <c r="E5428" s="6" t="s">
        <v>13897</v>
      </c>
      <c r="F5428" s="6" t="s">
        <v>14023</v>
      </c>
      <c r="G5428" s="6" t="s">
        <v>16</v>
      </c>
      <c r="H5428" s="5">
        <v>2</v>
      </c>
      <c r="I5428" s="6" t="s">
        <v>14024</v>
      </c>
      <c r="J5428" s="5">
        <v>986</v>
      </c>
    </row>
    <row r="5429" s="2" customFormat="1" spans="1:10">
      <c r="A5429" s="6">
        <f>5427</f>
        <v>5427</v>
      </c>
      <c r="B5429" s="6" t="s">
        <v>14025</v>
      </c>
      <c r="C5429" s="6" t="s">
        <v>12</v>
      </c>
      <c r="D5429" s="6" t="s">
        <v>13005</v>
      </c>
      <c r="E5429" s="6" t="s">
        <v>13897</v>
      </c>
      <c r="F5429" s="6" t="s">
        <v>14026</v>
      </c>
      <c r="G5429" s="6" t="s">
        <v>16</v>
      </c>
      <c r="H5429" s="5">
        <v>2</v>
      </c>
      <c r="I5429" s="6" t="s">
        <v>14027</v>
      </c>
      <c r="J5429" s="5">
        <v>688</v>
      </c>
    </row>
    <row r="5430" s="2" customFormat="1" spans="1:10">
      <c r="A5430" s="6">
        <f>5428</f>
        <v>5428</v>
      </c>
      <c r="B5430" s="6" t="s">
        <v>14028</v>
      </c>
      <c r="C5430" s="6" t="s">
        <v>12</v>
      </c>
      <c r="D5430" s="6" t="s">
        <v>13005</v>
      </c>
      <c r="E5430" s="6" t="s">
        <v>13897</v>
      </c>
      <c r="F5430" s="6" t="s">
        <v>14029</v>
      </c>
      <c r="G5430" s="6" t="s">
        <v>16</v>
      </c>
      <c r="H5430" s="5">
        <v>2</v>
      </c>
      <c r="I5430" s="6" t="s">
        <v>14030</v>
      </c>
      <c r="J5430" s="5">
        <v>540</v>
      </c>
    </row>
    <row r="5431" s="2" customFormat="1" spans="1:10">
      <c r="A5431" s="6">
        <f>5429</f>
        <v>5429</v>
      </c>
      <c r="B5431" s="6" t="s">
        <v>14031</v>
      </c>
      <c r="C5431" s="6" t="s">
        <v>12</v>
      </c>
      <c r="D5431" s="6" t="s">
        <v>13005</v>
      </c>
      <c r="E5431" s="6" t="s">
        <v>13897</v>
      </c>
      <c r="F5431" s="6" t="s">
        <v>14032</v>
      </c>
      <c r="G5431" s="6" t="s">
        <v>16</v>
      </c>
      <c r="H5431" s="5">
        <v>1</v>
      </c>
      <c r="I5431" s="6" t="s">
        <v>14032</v>
      </c>
      <c r="J5431" s="5">
        <v>333</v>
      </c>
    </row>
    <row r="5432" s="2" customFormat="1" spans="1:10">
      <c r="A5432" s="6">
        <f>5430</f>
        <v>5430</v>
      </c>
      <c r="B5432" s="6" t="s">
        <v>14033</v>
      </c>
      <c r="C5432" s="6" t="s">
        <v>12</v>
      </c>
      <c r="D5432" s="6" t="s">
        <v>13005</v>
      </c>
      <c r="E5432" s="6" t="s">
        <v>13897</v>
      </c>
      <c r="F5432" s="6" t="s">
        <v>14034</v>
      </c>
      <c r="G5432" s="6" t="s">
        <v>16</v>
      </c>
      <c r="H5432" s="5">
        <v>2</v>
      </c>
      <c r="I5432" s="6" t="s">
        <v>14035</v>
      </c>
      <c r="J5432" s="5">
        <v>474</v>
      </c>
    </row>
    <row r="5433" s="2" customFormat="1" spans="1:10">
      <c r="A5433" s="6">
        <f>5431</f>
        <v>5431</v>
      </c>
      <c r="B5433" s="6" t="s">
        <v>14036</v>
      </c>
      <c r="C5433" s="6" t="s">
        <v>12</v>
      </c>
      <c r="D5433" s="6" t="s">
        <v>13005</v>
      </c>
      <c r="E5433" s="6" t="s">
        <v>13897</v>
      </c>
      <c r="F5433" s="6" t="s">
        <v>14037</v>
      </c>
      <c r="G5433" s="6" t="s">
        <v>16</v>
      </c>
      <c r="H5433" s="5">
        <v>1</v>
      </c>
      <c r="I5433" s="6" t="s">
        <v>14037</v>
      </c>
      <c r="J5433" s="5">
        <v>295</v>
      </c>
    </row>
    <row r="5434" s="2" customFormat="1" spans="1:10">
      <c r="A5434" s="6">
        <f>5432</f>
        <v>5432</v>
      </c>
      <c r="B5434" s="6" t="s">
        <v>14038</v>
      </c>
      <c r="C5434" s="6" t="s">
        <v>12</v>
      </c>
      <c r="D5434" s="6" t="s">
        <v>13005</v>
      </c>
      <c r="E5434" s="6" t="s">
        <v>13897</v>
      </c>
      <c r="F5434" s="6" t="s">
        <v>14039</v>
      </c>
      <c r="G5434" s="6" t="s">
        <v>16</v>
      </c>
      <c r="H5434" s="5">
        <v>1</v>
      </c>
      <c r="I5434" s="6" t="s">
        <v>14039</v>
      </c>
      <c r="J5434" s="5">
        <v>435</v>
      </c>
    </row>
    <row r="5435" s="2" customFormat="1" spans="1:10">
      <c r="A5435" s="6">
        <f>5433</f>
        <v>5433</v>
      </c>
      <c r="B5435" s="6" t="s">
        <v>14040</v>
      </c>
      <c r="C5435" s="6" t="s">
        <v>12</v>
      </c>
      <c r="D5435" s="6" t="s">
        <v>13005</v>
      </c>
      <c r="E5435" s="6" t="s">
        <v>13897</v>
      </c>
      <c r="F5435" s="6" t="s">
        <v>14041</v>
      </c>
      <c r="G5435" s="6" t="s">
        <v>16</v>
      </c>
      <c r="H5435" s="5">
        <v>2</v>
      </c>
      <c r="I5435" s="6" t="s">
        <v>14042</v>
      </c>
      <c r="J5435" s="5">
        <v>496</v>
      </c>
    </row>
    <row r="5436" s="2" customFormat="1" ht="27" spans="1:10">
      <c r="A5436" s="6">
        <f>5434</f>
        <v>5434</v>
      </c>
      <c r="B5436" s="6" t="s">
        <v>14043</v>
      </c>
      <c r="C5436" s="6" t="s">
        <v>12</v>
      </c>
      <c r="D5436" s="6" t="s">
        <v>13005</v>
      </c>
      <c r="E5436" s="6" t="s">
        <v>13897</v>
      </c>
      <c r="F5436" s="6" t="s">
        <v>14044</v>
      </c>
      <c r="G5436" s="6" t="s">
        <v>16</v>
      </c>
      <c r="H5436" s="5">
        <v>4</v>
      </c>
      <c r="I5436" s="6" t="s">
        <v>14045</v>
      </c>
      <c r="J5436" s="5">
        <v>1540</v>
      </c>
    </row>
    <row r="5437" s="2" customFormat="1" spans="1:10">
      <c r="A5437" s="6">
        <f>5435</f>
        <v>5435</v>
      </c>
      <c r="B5437" s="6" t="s">
        <v>14046</v>
      </c>
      <c r="C5437" s="6" t="s">
        <v>12</v>
      </c>
      <c r="D5437" s="6" t="s">
        <v>13005</v>
      </c>
      <c r="E5437" s="6" t="s">
        <v>13897</v>
      </c>
      <c r="F5437" s="6" t="s">
        <v>14047</v>
      </c>
      <c r="G5437" s="6" t="s">
        <v>16</v>
      </c>
      <c r="H5437" s="5">
        <v>3</v>
      </c>
      <c r="I5437" s="6" t="s">
        <v>14048</v>
      </c>
      <c r="J5437" s="5">
        <v>557</v>
      </c>
    </row>
    <row r="5438" s="2" customFormat="1" spans="1:10">
      <c r="A5438" s="6">
        <f>5436</f>
        <v>5436</v>
      </c>
      <c r="B5438" s="6" t="s">
        <v>14049</v>
      </c>
      <c r="C5438" s="6" t="s">
        <v>12</v>
      </c>
      <c r="D5438" s="6" t="s">
        <v>13005</v>
      </c>
      <c r="E5438" s="6" t="s">
        <v>13897</v>
      </c>
      <c r="F5438" s="6" t="s">
        <v>14050</v>
      </c>
      <c r="G5438" s="6" t="s">
        <v>16</v>
      </c>
      <c r="H5438" s="5">
        <v>1</v>
      </c>
      <c r="I5438" s="6" t="s">
        <v>14050</v>
      </c>
      <c r="J5438" s="5">
        <v>540</v>
      </c>
    </row>
    <row r="5439" s="2" customFormat="1" spans="1:10">
      <c r="A5439" s="6">
        <f>5437</f>
        <v>5437</v>
      </c>
      <c r="B5439" s="6" t="s">
        <v>14051</v>
      </c>
      <c r="C5439" s="6" t="s">
        <v>12</v>
      </c>
      <c r="D5439" s="6" t="s">
        <v>13005</v>
      </c>
      <c r="E5439" s="6" t="s">
        <v>13897</v>
      </c>
      <c r="F5439" s="6" t="s">
        <v>14052</v>
      </c>
      <c r="G5439" s="6" t="s">
        <v>16</v>
      </c>
      <c r="H5439" s="5">
        <v>1</v>
      </c>
      <c r="I5439" s="6" t="s">
        <v>14052</v>
      </c>
      <c r="J5439" s="5">
        <v>300</v>
      </c>
    </row>
    <row r="5440" s="2" customFormat="1" spans="1:10">
      <c r="A5440" s="6">
        <f>5438</f>
        <v>5438</v>
      </c>
      <c r="B5440" s="6" t="s">
        <v>14053</v>
      </c>
      <c r="C5440" s="6" t="s">
        <v>12</v>
      </c>
      <c r="D5440" s="6" t="s">
        <v>13005</v>
      </c>
      <c r="E5440" s="6" t="s">
        <v>13897</v>
      </c>
      <c r="F5440" s="6" t="s">
        <v>14054</v>
      </c>
      <c r="G5440" s="6" t="s">
        <v>16</v>
      </c>
      <c r="H5440" s="5">
        <v>3</v>
      </c>
      <c r="I5440" s="6" t="s">
        <v>14055</v>
      </c>
      <c r="J5440" s="5">
        <v>980</v>
      </c>
    </row>
    <row r="5441" s="2" customFormat="1" spans="1:10">
      <c r="A5441" s="6">
        <f>5439</f>
        <v>5439</v>
      </c>
      <c r="B5441" s="6" t="s">
        <v>14056</v>
      </c>
      <c r="C5441" s="6" t="s">
        <v>12</v>
      </c>
      <c r="D5441" s="6" t="s">
        <v>13005</v>
      </c>
      <c r="E5441" s="6" t="s">
        <v>13897</v>
      </c>
      <c r="F5441" s="6" t="s">
        <v>14057</v>
      </c>
      <c r="G5441" s="6" t="s">
        <v>16</v>
      </c>
      <c r="H5441" s="5">
        <v>2</v>
      </c>
      <c r="I5441" s="6" t="s">
        <v>14058</v>
      </c>
      <c r="J5441" s="5">
        <v>480</v>
      </c>
    </row>
    <row r="5442" s="2" customFormat="1" spans="1:10">
      <c r="A5442" s="6">
        <f>5440</f>
        <v>5440</v>
      </c>
      <c r="B5442" s="6" t="s">
        <v>14059</v>
      </c>
      <c r="C5442" s="6" t="s">
        <v>12</v>
      </c>
      <c r="D5442" s="6" t="s">
        <v>13005</v>
      </c>
      <c r="E5442" s="6" t="s">
        <v>13897</v>
      </c>
      <c r="F5442" s="6" t="s">
        <v>14060</v>
      </c>
      <c r="G5442" s="6" t="s">
        <v>16</v>
      </c>
      <c r="H5442" s="5">
        <v>1</v>
      </c>
      <c r="I5442" s="6" t="s">
        <v>14060</v>
      </c>
      <c r="J5442" s="5">
        <v>268</v>
      </c>
    </row>
    <row r="5443" s="2" customFormat="1" spans="1:10">
      <c r="A5443" s="6">
        <f>5441</f>
        <v>5441</v>
      </c>
      <c r="B5443" s="6" t="s">
        <v>14061</v>
      </c>
      <c r="C5443" s="6" t="s">
        <v>12</v>
      </c>
      <c r="D5443" s="6" t="s">
        <v>13005</v>
      </c>
      <c r="E5443" s="6" t="s">
        <v>13897</v>
      </c>
      <c r="F5443" s="6" t="s">
        <v>14062</v>
      </c>
      <c r="G5443" s="6" t="s">
        <v>16</v>
      </c>
      <c r="H5443" s="5">
        <v>2</v>
      </c>
      <c r="I5443" s="6" t="s">
        <v>14063</v>
      </c>
      <c r="J5443" s="5">
        <v>680</v>
      </c>
    </row>
    <row r="5444" s="2" customFormat="1" spans="1:10">
      <c r="A5444" s="6">
        <f>5442</f>
        <v>5442</v>
      </c>
      <c r="B5444" s="6" t="s">
        <v>14064</v>
      </c>
      <c r="C5444" s="6" t="s">
        <v>12</v>
      </c>
      <c r="D5444" s="6" t="s">
        <v>13005</v>
      </c>
      <c r="E5444" s="6" t="s">
        <v>13897</v>
      </c>
      <c r="F5444" s="6" t="s">
        <v>14065</v>
      </c>
      <c r="G5444" s="6" t="s">
        <v>16</v>
      </c>
      <c r="H5444" s="5">
        <v>2</v>
      </c>
      <c r="I5444" s="6" t="s">
        <v>14066</v>
      </c>
      <c r="J5444" s="5">
        <v>360</v>
      </c>
    </row>
    <row r="5445" s="2" customFormat="1" spans="1:10">
      <c r="A5445" s="6">
        <f>5443</f>
        <v>5443</v>
      </c>
      <c r="B5445" s="6" t="s">
        <v>14067</v>
      </c>
      <c r="C5445" s="6" t="s">
        <v>12</v>
      </c>
      <c r="D5445" s="6" t="s">
        <v>13005</v>
      </c>
      <c r="E5445" s="6" t="s">
        <v>13897</v>
      </c>
      <c r="F5445" s="6" t="s">
        <v>14068</v>
      </c>
      <c r="G5445" s="6" t="s">
        <v>16</v>
      </c>
      <c r="H5445" s="5">
        <v>3</v>
      </c>
      <c r="I5445" s="6" t="s">
        <v>14069</v>
      </c>
      <c r="J5445" s="5">
        <v>809</v>
      </c>
    </row>
    <row r="5446" s="2" customFormat="1" spans="1:10">
      <c r="A5446" s="6">
        <f>5444</f>
        <v>5444</v>
      </c>
      <c r="B5446" s="6" t="s">
        <v>14070</v>
      </c>
      <c r="C5446" s="6" t="s">
        <v>12</v>
      </c>
      <c r="D5446" s="6" t="s">
        <v>13005</v>
      </c>
      <c r="E5446" s="6" t="s">
        <v>13897</v>
      </c>
      <c r="F5446" s="6" t="s">
        <v>14071</v>
      </c>
      <c r="G5446" s="6" t="s">
        <v>16</v>
      </c>
      <c r="H5446" s="5">
        <v>1</v>
      </c>
      <c r="I5446" s="6" t="s">
        <v>14071</v>
      </c>
      <c r="J5446" s="5">
        <v>228</v>
      </c>
    </row>
    <row r="5447" s="2" customFormat="1" spans="1:10">
      <c r="A5447" s="6">
        <f>5445</f>
        <v>5445</v>
      </c>
      <c r="B5447" s="6" t="s">
        <v>14072</v>
      </c>
      <c r="C5447" s="6" t="s">
        <v>12</v>
      </c>
      <c r="D5447" s="6" t="s">
        <v>13005</v>
      </c>
      <c r="E5447" s="6" t="s">
        <v>13897</v>
      </c>
      <c r="F5447" s="6" t="s">
        <v>14073</v>
      </c>
      <c r="G5447" s="6" t="s">
        <v>16</v>
      </c>
      <c r="H5447" s="5">
        <v>1</v>
      </c>
      <c r="I5447" s="6" t="s">
        <v>14073</v>
      </c>
      <c r="J5447" s="5">
        <v>270</v>
      </c>
    </row>
    <row r="5448" s="2" customFormat="1" spans="1:10">
      <c r="A5448" s="6">
        <f>5446</f>
        <v>5446</v>
      </c>
      <c r="B5448" s="6" t="s">
        <v>14074</v>
      </c>
      <c r="C5448" s="6" t="s">
        <v>12</v>
      </c>
      <c r="D5448" s="6" t="s">
        <v>13005</v>
      </c>
      <c r="E5448" s="6" t="s">
        <v>13897</v>
      </c>
      <c r="F5448" s="6" t="s">
        <v>14075</v>
      </c>
      <c r="G5448" s="6" t="s">
        <v>16</v>
      </c>
      <c r="H5448" s="5">
        <v>2</v>
      </c>
      <c r="I5448" s="6" t="s">
        <v>14076</v>
      </c>
      <c r="J5448" s="5">
        <v>501</v>
      </c>
    </row>
    <row r="5449" s="2" customFormat="1" spans="1:10">
      <c r="A5449" s="6">
        <f>5447</f>
        <v>5447</v>
      </c>
      <c r="B5449" s="6" t="s">
        <v>14077</v>
      </c>
      <c r="C5449" s="6" t="s">
        <v>12</v>
      </c>
      <c r="D5449" s="6" t="s">
        <v>13005</v>
      </c>
      <c r="E5449" s="6" t="s">
        <v>13897</v>
      </c>
      <c r="F5449" s="6" t="s">
        <v>14078</v>
      </c>
      <c r="G5449" s="6" t="s">
        <v>16</v>
      </c>
      <c r="H5449" s="5">
        <v>1</v>
      </c>
      <c r="I5449" s="6" t="s">
        <v>14078</v>
      </c>
      <c r="J5449" s="5">
        <v>247</v>
      </c>
    </row>
    <row r="5450" s="2" customFormat="1" ht="27" spans="1:10">
      <c r="A5450" s="6">
        <f>5448</f>
        <v>5448</v>
      </c>
      <c r="B5450" s="6" t="s">
        <v>14079</v>
      </c>
      <c r="C5450" s="6" t="s">
        <v>12</v>
      </c>
      <c r="D5450" s="6" t="s">
        <v>13005</v>
      </c>
      <c r="E5450" s="6" t="s">
        <v>13897</v>
      </c>
      <c r="F5450" s="6" t="s">
        <v>14080</v>
      </c>
      <c r="G5450" s="6" t="s">
        <v>16</v>
      </c>
      <c r="H5450" s="5">
        <v>5</v>
      </c>
      <c r="I5450" s="6" t="s">
        <v>14081</v>
      </c>
      <c r="J5450" s="5">
        <v>700</v>
      </c>
    </row>
    <row r="5451" s="2" customFormat="1" spans="1:10">
      <c r="A5451" s="6">
        <f>5449</f>
        <v>5449</v>
      </c>
      <c r="B5451" s="6" t="s">
        <v>14082</v>
      </c>
      <c r="C5451" s="6" t="s">
        <v>12</v>
      </c>
      <c r="D5451" s="6" t="s">
        <v>13005</v>
      </c>
      <c r="E5451" s="6" t="s">
        <v>13897</v>
      </c>
      <c r="F5451" s="6" t="s">
        <v>14083</v>
      </c>
      <c r="G5451" s="6" t="s">
        <v>16</v>
      </c>
      <c r="H5451" s="5">
        <v>1</v>
      </c>
      <c r="I5451" s="6" t="s">
        <v>14083</v>
      </c>
      <c r="J5451" s="5">
        <v>255</v>
      </c>
    </row>
    <row r="5452" s="2" customFormat="1" ht="27" spans="1:10">
      <c r="A5452" s="6">
        <f>5450</f>
        <v>5450</v>
      </c>
      <c r="B5452" s="6" t="s">
        <v>14084</v>
      </c>
      <c r="C5452" s="6" t="s">
        <v>12</v>
      </c>
      <c r="D5452" s="6" t="s">
        <v>13005</v>
      </c>
      <c r="E5452" s="6" t="s">
        <v>13897</v>
      </c>
      <c r="F5452" s="6" t="s">
        <v>14085</v>
      </c>
      <c r="G5452" s="6" t="s">
        <v>16</v>
      </c>
      <c r="H5452" s="5">
        <v>5</v>
      </c>
      <c r="I5452" s="6" t="s">
        <v>14086</v>
      </c>
      <c r="J5452" s="5">
        <v>1700</v>
      </c>
    </row>
    <row r="5453" s="2" customFormat="1" spans="1:10">
      <c r="A5453" s="6">
        <f>5451</f>
        <v>5451</v>
      </c>
      <c r="B5453" s="6" t="s">
        <v>14087</v>
      </c>
      <c r="C5453" s="6" t="s">
        <v>12</v>
      </c>
      <c r="D5453" s="6" t="s">
        <v>13005</v>
      </c>
      <c r="E5453" s="6" t="s">
        <v>13897</v>
      </c>
      <c r="F5453" s="6" t="s">
        <v>14088</v>
      </c>
      <c r="G5453" s="6" t="s">
        <v>16</v>
      </c>
      <c r="H5453" s="5">
        <v>1</v>
      </c>
      <c r="I5453" s="6" t="s">
        <v>14088</v>
      </c>
      <c r="J5453" s="5">
        <v>246</v>
      </c>
    </row>
    <row r="5454" s="2" customFormat="1" spans="1:10">
      <c r="A5454" s="6">
        <f>5452</f>
        <v>5452</v>
      </c>
      <c r="B5454" s="6" t="s">
        <v>14089</v>
      </c>
      <c r="C5454" s="6" t="s">
        <v>12</v>
      </c>
      <c r="D5454" s="6" t="s">
        <v>13005</v>
      </c>
      <c r="E5454" s="6" t="s">
        <v>13897</v>
      </c>
      <c r="F5454" s="6" t="s">
        <v>14090</v>
      </c>
      <c r="G5454" s="6" t="s">
        <v>16</v>
      </c>
      <c r="H5454" s="5">
        <v>2</v>
      </c>
      <c r="I5454" s="6" t="s">
        <v>14091</v>
      </c>
      <c r="J5454" s="5">
        <v>640</v>
      </c>
    </row>
    <row r="5455" s="2" customFormat="1" spans="1:10">
      <c r="A5455" s="6">
        <f>5453</f>
        <v>5453</v>
      </c>
      <c r="B5455" s="6" t="s">
        <v>14092</v>
      </c>
      <c r="C5455" s="6" t="s">
        <v>12</v>
      </c>
      <c r="D5455" s="6" t="s">
        <v>13005</v>
      </c>
      <c r="E5455" s="6" t="s">
        <v>13897</v>
      </c>
      <c r="F5455" s="6" t="s">
        <v>14093</v>
      </c>
      <c r="G5455" s="6" t="s">
        <v>16</v>
      </c>
      <c r="H5455" s="5">
        <v>1</v>
      </c>
      <c r="I5455" s="6" t="s">
        <v>14093</v>
      </c>
      <c r="J5455" s="5">
        <v>255</v>
      </c>
    </row>
    <row r="5456" s="2" customFormat="1" spans="1:10">
      <c r="A5456" s="6">
        <f>5454</f>
        <v>5454</v>
      </c>
      <c r="B5456" s="6" t="s">
        <v>14094</v>
      </c>
      <c r="C5456" s="6" t="s">
        <v>12</v>
      </c>
      <c r="D5456" s="6" t="s">
        <v>13005</v>
      </c>
      <c r="E5456" s="6" t="s">
        <v>13897</v>
      </c>
      <c r="F5456" s="6" t="s">
        <v>14095</v>
      </c>
      <c r="G5456" s="6" t="s">
        <v>16</v>
      </c>
      <c r="H5456" s="5">
        <v>1</v>
      </c>
      <c r="I5456" s="6" t="s">
        <v>14095</v>
      </c>
      <c r="J5456" s="5">
        <v>620</v>
      </c>
    </row>
    <row r="5457" s="2" customFormat="1" spans="1:10">
      <c r="A5457" s="6">
        <f>5455</f>
        <v>5455</v>
      </c>
      <c r="B5457" s="6" t="s">
        <v>14096</v>
      </c>
      <c r="C5457" s="6" t="s">
        <v>12</v>
      </c>
      <c r="D5457" s="6" t="s">
        <v>13005</v>
      </c>
      <c r="E5457" s="6" t="s">
        <v>13897</v>
      </c>
      <c r="F5457" s="6" t="s">
        <v>14097</v>
      </c>
      <c r="G5457" s="6" t="s">
        <v>16</v>
      </c>
      <c r="H5457" s="5">
        <v>3</v>
      </c>
      <c r="I5457" s="6" t="s">
        <v>14098</v>
      </c>
      <c r="J5457" s="5">
        <v>780</v>
      </c>
    </row>
    <row r="5458" s="2" customFormat="1" spans="1:10">
      <c r="A5458" s="6">
        <f>5456</f>
        <v>5456</v>
      </c>
      <c r="B5458" s="6" t="s">
        <v>14099</v>
      </c>
      <c r="C5458" s="6" t="s">
        <v>12</v>
      </c>
      <c r="D5458" s="6" t="s">
        <v>13005</v>
      </c>
      <c r="E5458" s="6" t="s">
        <v>13897</v>
      </c>
      <c r="F5458" s="6" t="s">
        <v>14100</v>
      </c>
      <c r="G5458" s="6" t="s">
        <v>16</v>
      </c>
      <c r="H5458" s="5">
        <v>1</v>
      </c>
      <c r="I5458" s="6" t="s">
        <v>14100</v>
      </c>
      <c r="J5458" s="5">
        <v>298</v>
      </c>
    </row>
    <row r="5459" s="2" customFormat="1" spans="1:10">
      <c r="A5459" s="6">
        <f>5457</f>
        <v>5457</v>
      </c>
      <c r="B5459" s="6" t="s">
        <v>14101</v>
      </c>
      <c r="C5459" s="6" t="s">
        <v>12</v>
      </c>
      <c r="D5459" s="6" t="s">
        <v>13005</v>
      </c>
      <c r="E5459" s="6" t="s">
        <v>13897</v>
      </c>
      <c r="F5459" s="6" t="s">
        <v>14102</v>
      </c>
      <c r="G5459" s="6" t="s">
        <v>16</v>
      </c>
      <c r="H5459" s="5">
        <v>1</v>
      </c>
      <c r="I5459" s="6" t="s">
        <v>14102</v>
      </c>
      <c r="J5459" s="5">
        <v>260</v>
      </c>
    </row>
    <row r="5460" s="2" customFormat="1" spans="1:10">
      <c r="A5460" s="6">
        <f>5458</f>
        <v>5458</v>
      </c>
      <c r="B5460" s="6" t="s">
        <v>14103</v>
      </c>
      <c r="C5460" s="6" t="s">
        <v>12</v>
      </c>
      <c r="D5460" s="6" t="s">
        <v>13005</v>
      </c>
      <c r="E5460" s="6" t="s">
        <v>13897</v>
      </c>
      <c r="F5460" s="6" t="s">
        <v>14104</v>
      </c>
      <c r="G5460" s="6" t="s">
        <v>16</v>
      </c>
      <c r="H5460" s="5">
        <v>2</v>
      </c>
      <c r="I5460" s="6" t="s">
        <v>14105</v>
      </c>
      <c r="J5460" s="5">
        <v>474</v>
      </c>
    </row>
    <row r="5461" s="2" customFormat="1" spans="1:10">
      <c r="A5461" s="6">
        <f>5459</f>
        <v>5459</v>
      </c>
      <c r="B5461" s="6" t="s">
        <v>14106</v>
      </c>
      <c r="C5461" s="6" t="s">
        <v>12</v>
      </c>
      <c r="D5461" s="6" t="s">
        <v>13005</v>
      </c>
      <c r="E5461" s="6" t="s">
        <v>13897</v>
      </c>
      <c r="F5461" s="6" t="s">
        <v>14107</v>
      </c>
      <c r="G5461" s="6" t="s">
        <v>16</v>
      </c>
      <c r="H5461" s="5">
        <v>2</v>
      </c>
      <c r="I5461" s="6" t="s">
        <v>14108</v>
      </c>
      <c r="J5461" s="5">
        <v>1080</v>
      </c>
    </row>
    <row r="5462" s="2" customFormat="1" spans="1:10">
      <c r="A5462" s="6">
        <f>5460</f>
        <v>5460</v>
      </c>
      <c r="B5462" s="6" t="s">
        <v>14109</v>
      </c>
      <c r="C5462" s="6" t="s">
        <v>12</v>
      </c>
      <c r="D5462" s="6" t="s">
        <v>13005</v>
      </c>
      <c r="E5462" s="6" t="s">
        <v>13897</v>
      </c>
      <c r="F5462" s="6" t="s">
        <v>14110</v>
      </c>
      <c r="G5462" s="6" t="s">
        <v>16</v>
      </c>
      <c r="H5462" s="5">
        <v>2</v>
      </c>
      <c r="I5462" s="6" t="s">
        <v>14111</v>
      </c>
      <c r="J5462" s="5">
        <v>505</v>
      </c>
    </row>
    <row r="5463" s="2" customFormat="1" spans="1:10">
      <c r="A5463" s="6">
        <f>5461</f>
        <v>5461</v>
      </c>
      <c r="B5463" s="6" t="s">
        <v>14112</v>
      </c>
      <c r="C5463" s="6" t="s">
        <v>12</v>
      </c>
      <c r="D5463" s="6" t="s">
        <v>13005</v>
      </c>
      <c r="E5463" s="6" t="s">
        <v>13897</v>
      </c>
      <c r="F5463" s="6" t="s">
        <v>14113</v>
      </c>
      <c r="G5463" s="6" t="s">
        <v>16</v>
      </c>
      <c r="H5463" s="5">
        <v>2</v>
      </c>
      <c r="I5463" s="6" t="s">
        <v>14114</v>
      </c>
      <c r="J5463" s="5">
        <v>530</v>
      </c>
    </row>
    <row r="5464" s="2" customFormat="1" spans="1:10">
      <c r="A5464" s="6">
        <f>5462</f>
        <v>5462</v>
      </c>
      <c r="B5464" s="6" t="s">
        <v>14115</v>
      </c>
      <c r="C5464" s="6" t="s">
        <v>12</v>
      </c>
      <c r="D5464" s="6" t="s">
        <v>13005</v>
      </c>
      <c r="E5464" s="6" t="s">
        <v>13897</v>
      </c>
      <c r="F5464" s="6" t="s">
        <v>14116</v>
      </c>
      <c r="G5464" s="6" t="s">
        <v>16</v>
      </c>
      <c r="H5464" s="5">
        <v>3</v>
      </c>
      <c r="I5464" s="6" t="s">
        <v>14117</v>
      </c>
      <c r="J5464" s="5">
        <v>580</v>
      </c>
    </row>
    <row r="5465" s="2" customFormat="1" spans="1:10">
      <c r="A5465" s="6">
        <f>5463</f>
        <v>5463</v>
      </c>
      <c r="B5465" s="6" t="s">
        <v>14118</v>
      </c>
      <c r="C5465" s="6" t="s">
        <v>12</v>
      </c>
      <c r="D5465" s="6" t="s">
        <v>13005</v>
      </c>
      <c r="E5465" s="6" t="s">
        <v>13897</v>
      </c>
      <c r="F5465" s="6" t="s">
        <v>14119</v>
      </c>
      <c r="G5465" s="6" t="s">
        <v>16</v>
      </c>
      <c r="H5465" s="5">
        <v>1</v>
      </c>
      <c r="I5465" s="6" t="s">
        <v>14119</v>
      </c>
      <c r="J5465" s="5">
        <v>540</v>
      </c>
    </row>
    <row r="5466" s="2" customFormat="1" spans="1:10">
      <c r="A5466" s="6">
        <f>5464</f>
        <v>5464</v>
      </c>
      <c r="B5466" s="6" t="s">
        <v>14120</v>
      </c>
      <c r="C5466" s="6" t="s">
        <v>12</v>
      </c>
      <c r="D5466" s="6" t="s">
        <v>13005</v>
      </c>
      <c r="E5466" s="6" t="s">
        <v>13897</v>
      </c>
      <c r="F5466" s="6" t="s">
        <v>14121</v>
      </c>
      <c r="G5466" s="6" t="s">
        <v>16</v>
      </c>
      <c r="H5466" s="5">
        <v>2</v>
      </c>
      <c r="I5466" s="6" t="s">
        <v>14122</v>
      </c>
      <c r="J5466" s="5">
        <v>596</v>
      </c>
    </row>
    <row r="5467" s="2" customFormat="1" spans="1:10">
      <c r="A5467" s="6">
        <f>5465</f>
        <v>5465</v>
      </c>
      <c r="B5467" s="6" t="s">
        <v>14123</v>
      </c>
      <c r="C5467" s="6" t="s">
        <v>12</v>
      </c>
      <c r="D5467" s="6" t="s">
        <v>13005</v>
      </c>
      <c r="E5467" s="6" t="s">
        <v>13897</v>
      </c>
      <c r="F5467" s="6" t="s">
        <v>14124</v>
      </c>
      <c r="G5467" s="6" t="s">
        <v>16</v>
      </c>
      <c r="H5467" s="5">
        <v>1</v>
      </c>
      <c r="I5467" s="6" t="s">
        <v>14124</v>
      </c>
      <c r="J5467" s="5">
        <v>300</v>
      </c>
    </row>
    <row r="5468" s="2" customFormat="1" spans="1:10">
      <c r="A5468" s="6">
        <f>5466</f>
        <v>5466</v>
      </c>
      <c r="B5468" s="6" t="s">
        <v>14125</v>
      </c>
      <c r="C5468" s="6" t="s">
        <v>12</v>
      </c>
      <c r="D5468" s="6" t="s">
        <v>13005</v>
      </c>
      <c r="E5468" s="6" t="s">
        <v>13897</v>
      </c>
      <c r="F5468" s="6" t="s">
        <v>14126</v>
      </c>
      <c r="G5468" s="6" t="s">
        <v>16</v>
      </c>
      <c r="H5468" s="5">
        <v>3</v>
      </c>
      <c r="I5468" s="6" t="s">
        <v>14127</v>
      </c>
      <c r="J5468" s="5">
        <v>1000</v>
      </c>
    </row>
    <row r="5469" s="2" customFormat="1" ht="27" spans="1:10">
      <c r="A5469" s="6">
        <f>5467</f>
        <v>5467</v>
      </c>
      <c r="B5469" s="6" t="s">
        <v>14128</v>
      </c>
      <c r="C5469" s="6" t="s">
        <v>12</v>
      </c>
      <c r="D5469" s="6" t="s">
        <v>13005</v>
      </c>
      <c r="E5469" s="6" t="s">
        <v>13897</v>
      </c>
      <c r="F5469" s="6" t="s">
        <v>14129</v>
      </c>
      <c r="G5469" s="6" t="s">
        <v>16</v>
      </c>
      <c r="H5469" s="5">
        <v>4</v>
      </c>
      <c r="I5469" s="6" t="s">
        <v>14130</v>
      </c>
      <c r="J5469" s="5">
        <v>1200</v>
      </c>
    </row>
    <row r="5470" s="2" customFormat="1" spans="1:10">
      <c r="A5470" s="6">
        <f>5468</f>
        <v>5468</v>
      </c>
      <c r="B5470" s="6" t="s">
        <v>14131</v>
      </c>
      <c r="C5470" s="6" t="s">
        <v>12</v>
      </c>
      <c r="D5470" s="6" t="s">
        <v>13005</v>
      </c>
      <c r="E5470" s="6" t="s">
        <v>13897</v>
      </c>
      <c r="F5470" s="6" t="s">
        <v>14132</v>
      </c>
      <c r="G5470" s="6" t="s">
        <v>16</v>
      </c>
      <c r="H5470" s="5">
        <v>2</v>
      </c>
      <c r="I5470" s="6" t="s">
        <v>14133</v>
      </c>
      <c r="J5470" s="5">
        <v>620</v>
      </c>
    </row>
    <row r="5471" s="2" customFormat="1" spans="1:10">
      <c r="A5471" s="6">
        <f>5469</f>
        <v>5469</v>
      </c>
      <c r="B5471" s="6" t="s">
        <v>14134</v>
      </c>
      <c r="C5471" s="6" t="s">
        <v>12</v>
      </c>
      <c r="D5471" s="6" t="s">
        <v>13005</v>
      </c>
      <c r="E5471" s="6" t="s">
        <v>13897</v>
      </c>
      <c r="F5471" s="6" t="s">
        <v>14135</v>
      </c>
      <c r="G5471" s="6" t="s">
        <v>16</v>
      </c>
      <c r="H5471" s="5">
        <v>3</v>
      </c>
      <c r="I5471" s="6" t="s">
        <v>14136</v>
      </c>
      <c r="J5471" s="5">
        <v>1000</v>
      </c>
    </row>
    <row r="5472" s="2" customFormat="1" spans="1:10">
      <c r="A5472" s="6">
        <f>5470</f>
        <v>5470</v>
      </c>
      <c r="B5472" s="6" t="s">
        <v>14137</v>
      </c>
      <c r="C5472" s="6" t="s">
        <v>12</v>
      </c>
      <c r="D5472" s="6" t="s">
        <v>14138</v>
      </c>
      <c r="E5472" s="6" t="s">
        <v>14139</v>
      </c>
      <c r="F5472" s="6" t="s">
        <v>14140</v>
      </c>
      <c r="G5472" s="6" t="s">
        <v>16</v>
      </c>
      <c r="H5472" s="5">
        <v>1</v>
      </c>
      <c r="I5472" s="6" t="s">
        <v>14140</v>
      </c>
      <c r="J5472" s="5">
        <v>260</v>
      </c>
    </row>
    <row r="5473" s="2" customFormat="1" spans="1:10">
      <c r="A5473" s="6">
        <f>5471</f>
        <v>5471</v>
      </c>
      <c r="B5473" s="6" t="s">
        <v>14141</v>
      </c>
      <c r="C5473" s="6" t="s">
        <v>12</v>
      </c>
      <c r="D5473" s="6" t="s">
        <v>14138</v>
      </c>
      <c r="E5473" s="6" t="s">
        <v>14139</v>
      </c>
      <c r="F5473" s="6" t="s">
        <v>14142</v>
      </c>
      <c r="G5473" s="6" t="s">
        <v>16</v>
      </c>
      <c r="H5473" s="5">
        <v>3</v>
      </c>
      <c r="I5473" s="6" t="s">
        <v>14143</v>
      </c>
      <c r="J5473" s="5">
        <v>590</v>
      </c>
    </row>
    <row r="5474" s="2" customFormat="1" spans="1:10">
      <c r="A5474" s="6">
        <f>5472</f>
        <v>5472</v>
      </c>
      <c r="B5474" s="6" t="s">
        <v>14144</v>
      </c>
      <c r="C5474" s="6" t="s">
        <v>12</v>
      </c>
      <c r="D5474" s="6" t="s">
        <v>14138</v>
      </c>
      <c r="E5474" s="6" t="s">
        <v>14139</v>
      </c>
      <c r="F5474" s="6" t="s">
        <v>14145</v>
      </c>
      <c r="G5474" s="6" t="s">
        <v>16</v>
      </c>
      <c r="H5474" s="5">
        <v>2</v>
      </c>
      <c r="I5474" s="6" t="s">
        <v>14146</v>
      </c>
      <c r="J5474" s="5">
        <v>620</v>
      </c>
    </row>
    <row r="5475" s="2" customFormat="1" spans="1:10">
      <c r="A5475" s="6">
        <f>5473</f>
        <v>5473</v>
      </c>
      <c r="B5475" s="6" t="s">
        <v>14147</v>
      </c>
      <c r="C5475" s="6" t="s">
        <v>12</v>
      </c>
      <c r="D5475" s="6" t="s">
        <v>14138</v>
      </c>
      <c r="E5475" s="6" t="s">
        <v>14139</v>
      </c>
      <c r="F5475" s="6" t="s">
        <v>6693</v>
      </c>
      <c r="G5475" s="6" t="s">
        <v>16</v>
      </c>
      <c r="H5475" s="5">
        <v>1</v>
      </c>
      <c r="I5475" s="6" t="s">
        <v>6693</v>
      </c>
      <c r="J5475" s="5">
        <v>360</v>
      </c>
    </row>
    <row r="5476" s="2" customFormat="1" spans="1:10">
      <c r="A5476" s="6">
        <f>5474</f>
        <v>5474</v>
      </c>
      <c r="B5476" s="6" t="s">
        <v>14148</v>
      </c>
      <c r="C5476" s="6" t="s">
        <v>12</v>
      </c>
      <c r="D5476" s="6" t="s">
        <v>14138</v>
      </c>
      <c r="E5476" s="6" t="s">
        <v>14139</v>
      </c>
      <c r="F5476" s="6" t="s">
        <v>14149</v>
      </c>
      <c r="G5476" s="6" t="s">
        <v>16</v>
      </c>
      <c r="H5476" s="5">
        <v>3</v>
      </c>
      <c r="I5476" s="6" t="s">
        <v>14150</v>
      </c>
      <c r="J5476" s="5">
        <v>720</v>
      </c>
    </row>
    <row r="5477" s="2" customFormat="1" ht="27" spans="1:10">
      <c r="A5477" s="6">
        <f>5475</f>
        <v>5475</v>
      </c>
      <c r="B5477" s="6" t="s">
        <v>14151</v>
      </c>
      <c r="C5477" s="6" t="s">
        <v>12</v>
      </c>
      <c r="D5477" s="6" t="s">
        <v>14138</v>
      </c>
      <c r="E5477" s="6" t="s">
        <v>14139</v>
      </c>
      <c r="F5477" s="6" t="s">
        <v>14152</v>
      </c>
      <c r="G5477" s="6" t="s">
        <v>16</v>
      </c>
      <c r="H5477" s="5">
        <v>4</v>
      </c>
      <c r="I5477" s="6" t="s">
        <v>14153</v>
      </c>
      <c r="J5477" s="5">
        <v>840</v>
      </c>
    </row>
    <row r="5478" s="2" customFormat="1" spans="1:10">
      <c r="A5478" s="6">
        <f>5476</f>
        <v>5476</v>
      </c>
      <c r="B5478" s="6" t="s">
        <v>14154</v>
      </c>
      <c r="C5478" s="6" t="s">
        <v>12</v>
      </c>
      <c r="D5478" s="6" t="s">
        <v>14138</v>
      </c>
      <c r="E5478" s="6" t="s">
        <v>14139</v>
      </c>
      <c r="F5478" s="6" t="s">
        <v>14155</v>
      </c>
      <c r="G5478" s="6" t="s">
        <v>16</v>
      </c>
      <c r="H5478" s="5">
        <v>1</v>
      </c>
      <c r="I5478" s="6" t="s">
        <v>14155</v>
      </c>
      <c r="J5478" s="5">
        <v>470</v>
      </c>
    </row>
    <row r="5479" s="2" customFormat="1" spans="1:10">
      <c r="A5479" s="6">
        <f>5477</f>
        <v>5477</v>
      </c>
      <c r="B5479" s="6" t="s">
        <v>14156</v>
      </c>
      <c r="C5479" s="6" t="s">
        <v>12</v>
      </c>
      <c r="D5479" s="6" t="s">
        <v>14138</v>
      </c>
      <c r="E5479" s="6" t="s">
        <v>14139</v>
      </c>
      <c r="F5479" s="6" t="s">
        <v>14157</v>
      </c>
      <c r="G5479" s="6" t="s">
        <v>16</v>
      </c>
      <c r="H5479" s="5">
        <v>2</v>
      </c>
      <c r="I5479" s="6" t="s">
        <v>14158</v>
      </c>
      <c r="J5479" s="5">
        <v>720</v>
      </c>
    </row>
    <row r="5480" s="2" customFormat="1" spans="1:10">
      <c r="A5480" s="6">
        <f>5478</f>
        <v>5478</v>
      </c>
      <c r="B5480" s="6" t="s">
        <v>14159</v>
      </c>
      <c r="C5480" s="6" t="s">
        <v>12</v>
      </c>
      <c r="D5480" s="6" t="s">
        <v>14138</v>
      </c>
      <c r="E5480" s="6" t="s">
        <v>14139</v>
      </c>
      <c r="F5480" s="6" t="s">
        <v>14160</v>
      </c>
      <c r="G5480" s="6" t="s">
        <v>16</v>
      </c>
      <c r="H5480" s="5">
        <v>2</v>
      </c>
      <c r="I5480" s="6" t="s">
        <v>14161</v>
      </c>
      <c r="J5480" s="5">
        <v>430</v>
      </c>
    </row>
    <row r="5481" s="2" customFormat="1" spans="1:10">
      <c r="A5481" s="6">
        <f>5479</f>
        <v>5479</v>
      </c>
      <c r="B5481" s="6" t="s">
        <v>14162</v>
      </c>
      <c r="C5481" s="6" t="s">
        <v>12</v>
      </c>
      <c r="D5481" s="6" t="s">
        <v>14138</v>
      </c>
      <c r="E5481" s="6" t="s">
        <v>14139</v>
      </c>
      <c r="F5481" s="6" t="s">
        <v>14163</v>
      </c>
      <c r="G5481" s="6" t="s">
        <v>16</v>
      </c>
      <c r="H5481" s="5">
        <v>1</v>
      </c>
      <c r="I5481" s="6" t="s">
        <v>14163</v>
      </c>
      <c r="J5481" s="5">
        <v>280</v>
      </c>
    </row>
    <row r="5482" s="2" customFormat="1" ht="27" spans="1:10">
      <c r="A5482" s="6">
        <f>5480</f>
        <v>5480</v>
      </c>
      <c r="B5482" s="6" t="s">
        <v>14164</v>
      </c>
      <c r="C5482" s="6" t="s">
        <v>12</v>
      </c>
      <c r="D5482" s="6" t="s">
        <v>14138</v>
      </c>
      <c r="E5482" s="6" t="s">
        <v>14139</v>
      </c>
      <c r="F5482" s="6" t="s">
        <v>14165</v>
      </c>
      <c r="G5482" s="6" t="s">
        <v>16</v>
      </c>
      <c r="H5482" s="5">
        <v>6</v>
      </c>
      <c r="I5482" s="6" t="s">
        <v>14166</v>
      </c>
      <c r="J5482" s="5">
        <v>1560</v>
      </c>
    </row>
    <row r="5483" s="2" customFormat="1" spans="1:10">
      <c r="A5483" s="6">
        <f>5481</f>
        <v>5481</v>
      </c>
      <c r="B5483" s="6" t="s">
        <v>14167</v>
      </c>
      <c r="C5483" s="6" t="s">
        <v>12</v>
      </c>
      <c r="D5483" s="6" t="s">
        <v>14138</v>
      </c>
      <c r="E5483" s="6" t="s">
        <v>14139</v>
      </c>
      <c r="F5483" s="6" t="s">
        <v>14168</v>
      </c>
      <c r="G5483" s="6" t="s">
        <v>16</v>
      </c>
      <c r="H5483" s="5">
        <v>2</v>
      </c>
      <c r="I5483" s="6" t="s">
        <v>14169</v>
      </c>
      <c r="J5483" s="5">
        <v>594</v>
      </c>
    </row>
    <row r="5484" s="2" customFormat="1" spans="1:10">
      <c r="A5484" s="6">
        <f>5482</f>
        <v>5482</v>
      </c>
      <c r="B5484" s="6" t="s">
        <v>14170</v>
      </c>
      <c r="C5484" s="6" t="s">
        <v>12</v>
      </c>
      <c r="D5484" s="6" t="s">
        <v>14138</v>
      </c>
      <c r="E5484" s="6" t="s">
        <v>14139</v>
      </c>
      <c r="F5484" s="6" t="s">
        <v>14171</v>
      </c>
      <c r="G5484" s="6" t="s">
        <v>16</v>
      </c>
      <c r="H5484" s="5">
        <v>1</v>
      </c>
      <c r="I5484" s="6" t="s">
        <v>14171</v>
      </c>
      <c r="J5484" s="5">
        <v>435</v>
      </c>
    </row>
    <row r="5485" s="2" customFormat="1" spans="1:10">
      <c r="A5485" s="6">
        <f>5483</f>
        <v>5483</v>
      </c>
      <c r="B5485" s="6" t="s">
        <v>14172</v>
      </c>
      <c r="C5485" s="6" t="s">
        <v>12</v>
      </c>
      <c r="D5485" s="6" t="s">
        <v>14138</v>
      </c>
      <c r="E5485" s="6" t="s">
        <v>14139</v>
      </c>
      <c r="F5485" s="6" t="s">
        <v>14173</v>
      </c>
      <c r="G5485" s="6" t="s">
        <v>16</v>
      </c>
      <c r="H5485" s="5">
        <v>2</v>
      </c>
      <c r="I5485" s="6" t="s">
        <v>14174</v>
      </c>
      <c r="J5485" s="5">
        <v>576</v>
      </c>
    </row>
    <row r="5486" s="2" customFormat="1" spans="1:10">
      <c r="A5486" s="6">
        <f>5484</f>
        <v>5484</v>
      </c>
      <c r="B5486" s="6" t="s">
        <v>14175</v>
      </c>
      <c r="C5486" s="6" t="s">
        <v>12</v>
      </c>
      <c r="D5486" s="6" t="s">
        <v>14138</v>
      </c>
      <c r="E5486" s="6" t="s">
        <v>14139</v>
      </c>
      <c r="F5486" s="6" t="s">
        <v>14176</v>
      </c>
      <c r="G5486" s="6" t="s">
        <v>16</v>
      </c>
      <c r="H5486" s="5">
        <v>1</v>
      </c>
      <c r="I5486" s="6" t="s">
        <v>14176</v>
      </c>
      <c r="J5486" s="5">
        <v>315</v>
      </c>
    </row>
    <row r="5487" s="2" customFormat="1" spans="1:10">
      <c r="A5487" s="6">
        <f>5485</f>
        <v>5485</v>
      </c>
      <c r="B5487" s="6" t="s">
        <v>14177</v>
      </c>
      <c r="C5487" s="6" t="s">
        <v>12</v>
      </c>
      <c r="D5487" s="6" t="s">
        <v>14138</v>
      </c>
      <c r="E5487" s="6" t="s">
        <v>14139</v>
      </c>
      <c r="F5487" s="6" t="s">
        <v>14178</v>
      </c>
      <c r="G5487" s="6" t="s">
        <v>16</v>
      </c>
      <c r="H5487" s="5">
        <v>3</v>
      </c>
      <c r="I5487" s="6" t="s">
        <v>14179</v>
      </c>
      <c r="J5487" s="5">
        <v>663</v>
      </c>
    </row>
    <row r="5488" s="2" customFormat="1" spans="1:10">
      <c r="A5488" s="6">
        <f>5486</f>
        <v>5486</v>
      </c>
      <c r="B5488" s="6" t="s">
        <v>14180</v>
      </c>
      <c r="C5488" s="6" t="s">
        <v>12</v>
      </c>
      <c r="D5488" s="6" t="s">
        <v>14138</v>
      </c>
      <c r="E5488" s="6" t="s">
        <v>14139</v>
      </c>
      <c r="F5488" s="6" t="s">
        <v>14181</v>
      </c>
      <c r="G5488" s="6" t="s">
        <v>16</v>
      </c>
      <c r="H5488" s="5">
        <v>1</v>
      </c>
      <c r="I5488" s="6" t="s">
        <v>14181</v>
      </c>
      <c r="J5488" s="5">
        <v>315</v>
      </c>
    </row>
    <row r="5489" s="2" customFormat="1" spans="1:10">
      <c r="A5489" s="6">
        <f>5487</f>
        <v>5487</v>
      </c>
      <c r="B5489" s="6" t="s">
        <v>14182</v>
      </c>
      <c r="C5489" s="6" t="s">
        <v>12</v>
      </c>
      <c r="D5489" s="6" t="s">
        <v>14138</v>
      </c>
      <c r="E5489" s="6" t="s">
        <v>14139</v>
      </c>
      <c r="F5489" s="6" t="s">
        <v>14183</v>
      </c>
      <c r="G5489" s="6" t="s">
        <v>16</v>
      </c>
      <c r="H5489" s="5">
        <v>2</v>
      </c>
      <c r="I5489" s="6" t="s">
        <v>14184</v>
      </c>
      <c r="J5489" s="5">
        <v>430</v>
      </c>
    </row>
    <row r="5490" s="2" customFormat="1" spans="1:10">
      <c r="A5490" s="6">
        <f>5488</f>
        <v>5488</v>
      </c>
      <c r="B5490" s="6" t="s">
        <v>14185</v>
      </c>
      <c r="C5490" s="6" t="s">
        <v>12</v>
      </c>
      <c r="D5490" s="6" t="s">
        <v>14138</v>
      </c>
      <c r="E5490" s="6" t="s">
        <v>14139</v>
      </c>
      <c r="F5490" s="6" t="s">
        <v>6878</v>
      </c>
      <c r="G5490" s="6" t="s">
        <v>16</v>
      </c>
      <c r="H5490" s="5">
        <v>3</v>
      </c>
      <c r="I5490" s="6" t="s">
        <v>14186</v>
      </c>
      <c r="J5490" s="5">
        <v>744</v>
      </c>
    </row>
    <row r="5491" s="2" customFormat="1" spans="1:10">
      <c r="A5491" s="6">
        <f>5489</f>
        <v>5489</v>
      </c>
      <c r="B5491" s="6" t="s">
        <v>14187</v>
      </c>
      <c r="C5491" s="6" t="s">
        <v>12</v>
      </c>
      <c r="D5491" s="6" t="s">
        <v>14138</v>
      </c>
      <c r="E5491" s="6" t="s">
        <v>14139</v>
      </c>
      <c r="F5491" s="6" t="s">
        <v>14188</v>
      </c>
      <c r="G5491" s="6" t="s">
        <v>16</v>
      </c>
      <c r="H5491" s="5">
        <v>1</v>
      </c>
      <c r="I5491" s="6" t="s">
        <v>14188</v>
      </c>
      <c r="J5491" s="5">
        <v>293</v>
      </c>
    </row>
    <row r="5492" s="2" customFormat="1" spans="1:10">
      <c r="A5492" s="6">
        <f>5490</f>
        <v>5490</v>
      </c>
      <c r="B5492" s="6" t="s">
        <v>14189</v>
      </c>
      <c r="C5492" s="6" t="s">
        <v>12</v>
      </c>
      <c r="D5492" s="6" t="s">
        <v>14138</v>
      </c>
      <c r="E5492" s="6" t="s">
        <v>14139</v>
      </c>
      <c r="F5492" s="6" t="s">
        <v>14190</v>
      </c>
      <c r="G5492" s="6" t="s">
        <v>16</v>
      </c>
      <c r="H5492" s="5">
        <v>2</v>
      </c>
      <c r="I5492" s="6" t="s">
        <v>14191</v>
      </c>
      <c r="J5492" s="5">
        <v>840</v>
      </c>
    </row>
    <row r="5493" s="2" customFormat="1" spans="1:10">
      <c r="A5493" s="6">
        <f>5491</f>
        <v>5491</v>
      </c>
      <c r="B5493" s="6" t="s">
        <v>14192</v>
      </c>
      <c r="C5493" s="6" t="s">
        <v>12</v>
      </c>
      <c r="D5493" s="6" t="s">
        <v>14138</v>
      </c>
      <c r="E5493" s="6" t="s">
        <v>14139</v>
      </c>
      <c r="F5493" s="6" t="s">
        <v>14193</v>
      </c>
      <c r="G5493" s="6" t="s">
        <v>16</v>
      </c>
      <c r="H5493" s="5">
        <v>1</v>
      </c>
      <c r="I5493" s="6" t="s">
        <v>14193</v>
      </c>
      <c r="J5493" s="5">
        <v>300</v>
      </c>
    </row>
    <row r="5494" s="2" customFormat="1" ht="27" spans="1:10">
      <c r="A5494" s="6">
        <f>5492</f>
        <v>5492</v>
      </c>
      <c r="B5494" s="6" t="s">
        <v>14194</v>
      </c>
      <c r="C5494" s="6" t="s">
        <v>12</v>
      </c>
      <c r="D5494" s="6" t="s">
        <v>14138</v>
      </c>
      <c r="E5494" s="6" t="s">
        <v>14139</v>
      </c>
      <c r="F5494" s="6" t="s">
        <v>14195</v>
      </c>
      <c r="G5494" s="6" t="s">
        <v>16</v>
      </c>
      <c r="H5494" s="5">
        <v>4</v>
      </c>
      <c r="I5494" s="6" t="s">
        <v>14196</v>
      </c>
      <c r="J5494" s="5">
        <v>710</v>
      </c>
    </row>
    <row r="5495" s="2" customFormat="1" spans="1:10">
      <c r="A5495" s="6">
        <f>5493</f>
        <v>5493</v>
      </c>
      <c r="B5495" s="6" t="s">
        <v>14197</v>
      </c>
      <c r="C5495" s="6" t="s">
        <v>12</v>
      </c>
      <c r="D5495" s="6" t="s">
        <v>14138</v>
      </c>
      <c r="E5495" s="6" t="s">
        <v>14139</v>
      </c>
      <c r="F5495" s="6" t="s">
        <v>14198</v>
      </c>
      <c r="G5495" s="6" t="s">
        <v>16</v>
      </c>
      <c r="H5495" s="5">
        <v>1</v>
      </c>
      <c r="I5495" s="6" t="s">
        <v>14198</v>
      </c>
      <c r="J5495" s="5">
        <v>322</v>
      </c>
    </row>
    <row r="5496" s="2" customFormat="1" spans="1:10">
      <c r="A5496" s="6">
        <f>5494</f>
        <v>5494</v>
      </c>
      <c r="B5496" s="6" t="s">
        <v>14199</v>
      </c>
      <c r="C5496" s="6" t="s">
        <v>12</v>
      </c>
      <c r="D5496" s="6" t="s">
        <v>14138</v>
      </c>
      <c r="E5496" s="6" t="s">
        <v>14139</v>
      </c>
      <c r="F5496" s="6" t="s">
        <v>14200</v>
      </c>
      <c r="G5496" s="6" t="s">
        <v>16</v>
      </c>
      <c r="H5496" s="5">
        <v>2</v>
      </c>
      <c r="I5496" s="6" t="s">
        <v>14201</v>
      </c>
      <c r="J5496" s="5">
        <v>576</v>
      </c>
    </row>
    <row r="5497" s="2" customFormat="1" spans="1:10">
      <c r="A5497" s="6">
        <f>5495</f>
        <v>5495</v>
      </c>
      <c r="B5497" s="6" t="s">
        <v>14202</v>
      </c>
      <c r="C5497" s="6" t="s">
        <v>12</v>
      </c>
      <c r="D5497" s="6" t="s">
        <v>14138</v>
      </c>
      <c r="E5497" s="6" t="s">
        <v>14139</v>
      </c>
      <c r="F5497" s="6" t="s">
        <v>14203</v>
      </c>
      <c r="G5497" s="6" t="s">
        <v>16</v>
      </c>
      <c r="H5497" s="5">
        <v>1</v>
      </c>
      <c r="I5497" s="6" t="s">
        <v>14203</v>
      </c>
      <c r="J5497" s="5">
        <v>340</v>
      </c>
    </row>
    <row r="5498" s="2" customFormat="1" ht="27" spans="1:10">
      <c r="A5498" s="6">
        <f>5496</f>
        <v>5496</v>
      </c>
      <c r="B5498" s="6" t="s">
        <v>14204</v>
      </c>
      <c r="C5498" s="6" t="s">
        <v>12</v>
      </c>
      <c r="D5498" s="6" t="s">
        <v>14138</v>
      </c>
      <c r="E5498" s="6" t="s">
        <v>14139</v>
      </c>
      <c r="F5498" s="6" t="s">
        <v>14205</v>
      </c>
      <c r="G5498" s="6" t="s">
        <v>16</v>
      </c>
      <c r="H5498" s="5">
        <v>5</v>
      </c>
      <c r="I5498" s="6" t="s">
        <v>14206</v>
      </c>
      <c r="J5498" s="5">
        <v>1150</v>
      </c>
    </row>
    <row r="5499" s="2" customFormat="1" spans="1:10">
      <c r="A5499" s="6">
        <f>5497</f>
        <v>5497</v>
      </c>
      <c r="B5499" s="6" t="s">
        <v>14207</v>
      </c>
      <c r="C5499" s="6" t="s">
        <v>12</v>
      </c>
      <c r="D5499" s="6" t="s">
        <v>14138</v>
      </c>
      <c r="E5499" s="6" t="s">
        <v>14139</v>
      </c>
      <c r="F5499" s="6" t="s">
        <v>14208</v>
      </c>
      <c r="G5499" s="6" t="s">
        <v>16</v>
      </c>
      <c r="H5499" s="5">
        <v>2</v>
      </c>
      <c r="I5499" s="6" t="s">
        <v>14209</v>
      </c>
      <c r="J5499" s="5">
        <v>504</v>
      </c>
    </row>
    <row r="5500" s="2" customFormat="1" ht="27" spans="1:10">
      <c r="A5500" s="6">
        <f>5498</f>
        <v>5498</v>
      </c>
      <c r="B5500" s="6" t="s">
        <v>14210</v>
      </c>
      <c r="C5500" s="6" t="s">
        <v>12</v>
      </c>
      <c r="D5500" s="6" t="s">
        <v>14138</v>
      </c>
      <c r="E5500" s="6" t="s">
        <v>14139</v>
      </c>
      <c r="F5500" s="6" t="s">
        <v>14211</v>
      </c>
      <c r="G5500" s="6" t="s">
        <v>16</v>
      </c>
      <c r="H5500" s="5">
        <v>5</v>
      </c>
      <c r="I5500" s="6" t="s">
        <v>14212</v>
      </c>
      <c r="J5500" s="5">
        <v>875</v>
      </c>
    </row>
    <row r="5501" s="2" customFormat="1" spans="1:10">
      <c r="A5501" s="6">
        <f>5499</f>
        <v>5499</v>
      </c>
      <c r="B5501" s="6" t="s">
        <v>14213</v>
      </c>
      <c r="C5501" s="6" t="s">
        <v>12</v>
      </c>
      <c r="D5501" s="6" t="s">
        <v>14138</v>
      </c>
      <c r="E5501" s="6" t="s">
        <v>14139</v>
      </c>
      <c r="F5501" s="6" t="s">
        <v>14214</v>
      </c>
      <c r="G5501" s="6" t="s">
        <v>16</v>
      </c>
      <c r="H5501" s="5">
        <v>2</v>
      </c>
      <c r="I5501" s="6" t="s">
        <v>14215</v>
      </c>
      <c r="J5501" s="5">
        <v>700</v>
      </c>
    </row>
    <row r="5502" s="2" customFormat="1" spans="1:10">
      <c r="A5502" s="6">
        <f>5500</f>
        <v>5500</v>
      </c>
      <c r="B5502" s="6" t="s">
        <v>14216</v>
      </c>
      <c r="C5502" s="6" t="s">
        <v>12</v>
      </c>
      <c r="D5502" s="6" t="s">
        <v>14138</v>
      </c>
      <c r="E5502" s="6" t="s">
        <v>14139</v>
      </c>
      <c r="F5502" s="6" t="s">
        <v>14217</v>
      </c>
      <c r="G5502" s="6" t="s">
        <v>16</v>
      </c>
      <c r="H5502" s="5">
        <v>1</v>
      </c>
      <c r="I5502" s="6" t="s">
        <v>14217</v>
      </c>
      <c r="J5502" s="5">
        <v>273</v>
      </c>
    </row>
    <row r="5503" s="2" customFormat="1" spans="1:10">
      <c r="A5503" s="6">
        <f>5501</f>
        <v>5501</v>
      </c>
      <c r="B5503" s="6" t="s">
        <v>14218</v>
      </c>
      <c r="C5503" s="6" t="s">
        <v>12</v>
      </c>
      <c r="D5503" s="6" t="s">
        <v>14138</v>
      </c>
      <c r="E5503" s="6" t="s">
        <v>14139</v>
      </c>
      <c r="F5503" s="6" t="s">
        <v>14219</v>
      </c>
      <c r="G5503" s="6" t="s">
        <v>16</v>
      </c>
      <c r="H5503" s="5">
        <v>1</v>
      </c>
      <c r="I5503" s="6" t="s">
        <v>14219</v>
      </c>
      <c r="J5503" s="5">
        <v>340</v>
      </c>
    </row>
    <row r="5504" s="2" customFormat="1" spans="1:10">
      <c r="A5504" s="6">
        <f>5502</f>
        <v>5502</v>
      </c>
      <c r="B5504" s="6" t="s">
        <v>14220</v>
      </c>
      <c r="C5504" s="6" t="s">
        <v>12</v>
      </c>
      <c r="D5504" s="6" t="s">
        <v>14138</v>
      </c>
      <c r="E5504" s="6" t="s">
        <v>14139</v>
      </c>
      <c r="F5504" s="6" t="s">
        <v>14221</v>
      </c>
      <c r="G5504" s="6" t="s">
        <v>16</v>
      </c>
      <c r="H5504" s="5">
        <v>1</v>
      </c>
      <c r="I5504" s="6" t="s">
        <v>14221</v>
      </c>
      <c r="J5504" s="5">
        <v>315</v>
      </c>
    </row>
    <row r="5505" s="2" customFormat="1" spans="1:10">
      <c r="A5505" s="6">
        <f>5503</f>
        <v>5503</v>
      </c>
      <c r="B5505" s="6" t="s">
        <v>14222</v>
      </c>
      <c r="C5505" s="6" t="s">
        <v>12</v>
      </c>
      <c r="D5505" s="6" t="s">
        <v>14138</v>
      </c>
      <c r="E5505" s="6" t="s">
        <v>14139</v>
      </c>
      <c r="F5505" s="6" t="s">
        <v>14223</v>
      </c>
      <c r="G5505" s="6" t="s">
        <v>16</v>
      </c>
      <c r="H5505" s="5">
        <v>3</v>
      </c>
      <c r="I5505" s="6" t="s">
        <v>14224</v>
      </c>
      <c r="J5505" s="5">
        <v>828</v>
      </c>
    </row>
    <row r="5506" s="2" customFormat="1" spans="1:10">
      <c r="A5506" s="6">
        <f>5504</f>
        <v>5504</v>
      </c>
      <c r="B5506" s="6" t="s">
        <v>14225</v>
      </c>
      <c r="C5506" s="6" t="s">
        <v>12</v>
      </c>
      <c r="D5506" s="6" t="s">
        <v>14138</v>
      </c>
      <c r="E5506" s="6" t="s">
        <v>14139</v>
      </c>
      <c r="F5506" s="6" t="s">
        <v>14226</v>
      </c>
      <c r="G5506" s="6" t="s">
        <v>16</v>
      </c>
      <c r="H5506" s="5">
        <v>2</v>
      </c>
      <c r="I5506" s="6" t="s">
        <v>14227</v>
      </c>
      <c r="J5506" s="5">
        <v>530</v>
      </c>
    </row>
    <row r="5507" s="2" customFormat="1" spans="1:10">
      <c r="A5507" s="6">
        <f>5505</f>
        <v>5505</v>
      </c>
      <c r="B5507" s="6" t="s">
        <v>14228</v>
      </c>
      <c r="C5507" s="6" t="s">
        <v>12</v>
      </c>
      <c r="D5507" s="6" t="s">
        <v>14138</v>
      </c>
      <c r="E5507" s="6" t="s">
        <v>14229</v>
      </c>
      <c r="F5507" s="6" t="s">
        <v>14230</v>
      </c>
      <c r="G5507" s="6" t="s">
        <v>16</v>
      </c>
      <c r="H5507" s="5">
        <v>3</v>
      </c>
      <c r="I5507" s="6" t="s">
        <v>14231</v>
      </c>
      <c r="J5507" s="5">
        <v>860</v>
      </c>
    </row>
    <row r="5508" s="2" customFormat="1" spans="1:10">
      <c r="A5508" s="6">
        <f>5506</f>
        <v>5506</v>
      </c>
      <c r="B5508" s="6" t="s">
        <v>14232</v>
      </c>
      <c r="C5508" s="6" t="s">
        <v>12</v>
      </c>
      <c r="D5508" s="6" t="s">
        <v>14138</v>
      </c>
      <c r="E5508" s="6" t="s">
        <v>14229</v>
      </c>
      <c r="F5508" s="6" t="s">
        <v>14233</v>
      </c>
      <c r="G5508" s="6" t="s">
        <v>16</v>
      </c>
      <c r="H5508" s="5">
        <v>2</v>
      </c>
      <c r="I5508" s="6" t="s">
        <v>14234</v>
      </c>
      <c r="J5508" s="5">
        <v>680</v>
      </c>
    </row>
    <row r="5509" s="2" customFormat="1" spans="1:10">
      <c r="A5509" s="6">
        <f>5507</f>
        <v>5507</v>
      </c>
      <c r="B5509" s="6" t="s">
        <v>14235</v>
      </c>
      <c r="C5509" s="6" t="s">
        <v>12</v>
      </c>
      <c r="D5509" s="6" t="s">
        <v>14138</v>
      </c>
      <c r="E5509" s="6" t="s">
        <v>14229</v>
      </c>
      <c r="F5509" s="6" t="s">
        <v>14236</v>
      </c>
      <c r="G5509" s="6" t="s">
        <v>16</v>
      </c>
      <c r="H5509" s="5">
        <v>3</v>
      </c>
      <c r="I5509" s="6" t="s">
        <v>14237</v>
      </c>
      <c r="J5509" s="5">
        <v>920</v>
      </c>
    </row>
    <row r="5510" s="2" customFormat="1" spans="1:10">
      <c r="A5510" s="6">
        <f>5508</f>
        <v>5508</v>
      </c>
      <c r="B5510" s="6" t="s">
        <v>14238</v>
      </c>
      <c r="C5510" s="6" t="s">
        <v>12</v>
      </c>
      <c r="D5510" s="6" t="s">
        <v>14138</v>
      </c>
      <c r="E5510" s="6" t="s">
        <v>14229</v>
      </c>
      <c r="F5510" s="6" t="s">
        <v>14239</v>
      </c>
      <c r="G5510" s="6" t="s">
        <v>16</v>
      </c>
      <c r="H5510" s="5">
        <v>3</v>
      </c>
      <c r="I5510" s="6" t="s">
        <v>14240</v>
      </c>
      <c r="J5510" s="5">
        <v>970</v>
      </c>
    </row>
    <row r="5511" s="2" customFormat="1" ht="27" spans="1:10">
      <c r="A5511" s="6">
        <f>5509</f>
        <v>5509</v>
      </c>
      <c r="B5511" s="6" t="s">
        <v>14241</v>
      </c>
      <c r="C5511" s="6" t="s">
        <v>12</v>
      </c>
      <c r="D5511" s="6" t="s">
        <v>14138</v>
      </c>
      <c r="E5511" s="6" t="s">
        <v>14229</v>
      </c>
      <c r="F5511" s="6" t="s">
        <v>14242</v>
      </c>
      <c r="G5511" s="6" t="s">
        <v>16</v>
      </c>
      <c r="H5511" s="5">
        <v>6</v>
      </c>
      <c r="I5511" s="6" t="s">
        <v>14243</v>
      </c>
      <c r="J5511" s="5">
        <v>1060</v>
      </c>
    </row>
    <row r="5512" s="2" customFormat="1" spans="1:10">
      <c r="A5512" s="6">
        <f>5510</f>
        <v>5510</v>
      </c>
      <c r="B5512" s="6" t="s">
        <v>14244</v>
      </c>
      <c r="C5512" s="6" t="s">
        <v>12</v>
      </c>
      <c r="D5512" s="6" t="s">
        <v>14138</v>
      </c>
      <c r="E5512" s="6" t="s">
        <v>14229</v>
      </c>
      <c r="F5512" s="6" t="s">
        <v>14245</v>
      </c>
      <c r="G5512" s="6" t="s">
        <v>16</v>
      </c>
      <c r="H5512" s="5">
        <v>3</v>
      </c>
      <c r="I5512" s="6" t="s">
        <v>14246</v>
      </c>
      <c r="J5512" s="5">
        <v>980</v>
      </c>
    </row>
    <row r="5513" s="2" customFormat="1" spans="1:10">
      <c r="A5513" s="6">
        <f>5511</f>
        <v>5511</v>
      </c>
      <c r="B5513" s="6" t="s">
        <v>14247</v>
      </c>
      <c r="C5513" s="6" t="s">
        <v>12</v>
      </c>
      <c r="D5513" s="6" t="s">
        <v>14138</v>
      </c>
      <c r="E5513" s="6" t="s">
        <v>14229</v>
      </c>
      <c r="F5513" s="6" t="s">
        <v>14248</v>
      </c>
      <c r="G5513" s="6" t="s">
        <v>16</v>
      </c>
      <c r="H5513" s="5">
        <v>1</v>
      </c>
      <c r="I5513" s="6" t="s">
        <v>14248</v>
      </c>
      <c r="J5513" s="5">
        <v>260</v>
      </c>
    </row>
    <row r="5514" s="2" customFormat="1" spans="1:10">
      <c r="A5514" s="6">
        <f>5512</f>
        <v>5512</v>
      </c>
      <c r="B5514" s="6" t="s">
        <v>14249</v>
      </c>
      <c r="C5514" s="6" t="s">
        <v>12</v>
      </c>
      <c r="D5514" s="6" t="s">
        <v>14138</v>
      </c>
      <c r="E5514" s="6" t="s">
        <v>14229</v>
      </c>
      <c r="F5514" s="6" t="s">
        <v>14250</v>
      </c>
      <c r="G5514" s="6" t="s">
        <v>16</v>
      </c>
      <c r="H5514" s="5">
        <v>3</v>
      </c>
      <c r="I5514" s="6" t="s">
        <v>14251</v>
      </c>
      <c r="J5514" s="5">
        <v>580</v>
      </c>
    </row>
    <row r="5515" s="2" customFormat="1" spans="1:10">
      <c r="A5515" s="6">
        <f>5513</f>
        <v>5513</v>
      </c>
      <c r="B5515" s="6" t="s">
        <v>14252</v>
      </c>
      <c r="C5515" s="6" t="s">
        <v>12</v>
      </c>
      <c r="D5515" s="6" t="s">
        <v>14138</v>
      </c>
      <c r="E5515" s="6" t="s">
        <v>14229</v>
      </c>
      <c r="F5515" s="6" t="s">
        <v>14253</v>
      </c>
      <c r="G5515" s="6" t="s">
        <v>16</v>
      </c>
      <c r="H5515" s="5">
        <v>3</v>
      </c>
      <c r="I5515" s="6" t="s">
        <v>14254</v>
      </c>
      <c r="J5515" s="5">
        <v>1020</v>
      </c>
    </row>
    <row r="5516" s="2" customFormat="1" spans="1:10">
      <c r="A5516" s="6">
        <f>5514</f>
        <v>5514</v>
      </c>
      <c r="B5516" s="6" t="s">
        <v>14255</v>
      </c>
      <c r="C5516" s="6" t="s">
        <v>12</v>
      </c>
      <c r="D5516" s="6" t="s">
        <v>14138</v>
      </c>
      <c r="E5516" s="6" t="s">
        <v>14229</v>
      </c>
      <c r="F5516" s="6" t="s">
        <v>8822</v>
      </c>
      <c r="G5516" s="6" t="s">
        <v>16</v>
      </c>
      <c r="H5516" s="5">
        <v>1</v>
      </c>
      <c r="I5516" s="6" t="s">
        <v>8822</v>
      </c>
      <c r="J5516" s="5">
        <v>620</v>
      </c>
    </row>
    <row r="5517" s="2" customFormat="1" spans="1:10">
      <c r="A5517" s="6">
        <f>5515</f>
        <v>5515</v>
      </c>
      <c r="B5517" s="6" t="s">
        <v>14256</v>
      </c>
      <c r="C5517" s="6" t="s">
        <v>12</v>
      </c>
      <c r="D5517" s="6" t="s">
        <v>14138</v>
      </c>
      <c r="E5517" s="6" t="s">
        <v>14229</v>
      </c>
      <c r="F5517" s="6" t="s">
        <v>14257</v>
      </c>
      <c r="G5517" s="6" t="s">
        <v>16</v>
      </c>
      <c r="H5517" s="5">
        <v>2</v>
      </c>
      <c r="I5517" s="6" t="s">
        <v>14258</v>
      </c>
      <c r="J5517" s="5">
        <v>720</v>
      </c>
    </row>
    <row r="5518" s="2" customFormat="1" spans="1:10">
      <c r="A5518" s="6">
        <f>5516</f>
        <v>5516</v>
      </c>
      <c r="B5518" s="6" t="s">
        <v>14259</v>
      </c>
      <c r="C5518" s="6" t="s">
        <v>12</v>
      </c>
      <c r="D5518" s="6" t="s">
        <v>14138</v>
      </c>
      <c r="E5518" s="6" t="s">
        <v>14229</v>
      </c>
      <c r="F5518" s="6" t="s">
        <v>14260</v>
      </c>
      <c r="G5518" s="6" t="s">
        <v>16</v>
      </c>
      <c r="H5518" s="5">
        <v>1</v>
      </c>
      <c r="I5518" s="6" t="s">
        <v>14260</v>
      </c>
      <c r="J5518" s="5">
        <v>360</v>
      </c>
    </row>
    <row r="5519" s="2" customFormat="1" spans="1:10">
      <c r="A5519" s="6">
        <f>5517</f>
        <v>5517</v>
      </c>
      <c r="B5519" s="6" t="s">
        <v>14261</v>
      </c>
      <c r="C5519" s="6" t="s">
        <v>12</v>
      </c>
      <c r="D5519" s="6" t="s">
        <v>14138</v>
      </c>
      <c r="E5519" s="6" t="s">
        <v>14229</v>
      </c>
      <c r="F5519" s="6" t="s">
        <v>14262</v>
      </c>
      <c r="G5519" s="6" t="s">
        <v>16</v>
      </c>
      <c r="H5519" s="5">
        <v>2</v>
      </c>
      <c r="I5519" s="6" t="s">
        <v>14263</v>
      </c>
      <c r="J5519" s="5">
        <v>325</v>
      </c>
    </row>
    <row r="5520" s="2" customFormat="1" spans="1:10">
      <c r="A5520" s="6">
        <f>5518</f>
        <v>5518</v>
      </c>
      <c r="B5520" s="6" t="s">
        <v>14264</v>
      </c>
      <c r="C5520" s="6" t="s">
        <v>12</v>
      </c>
      <c r="D5520" s="6" t="s">
        <v>14138</v>
      </c>
      <c r="E5520" s="6" t="s">
        <v>14229</v>
      </c>
      <c r="F5520" s="6" t="s">
        <v>14265</v>
      </c>
      <c r="G5520" s="6" t="s">
        <v>16</v>
      </c>
      <c r="H5520" s="5">
        <v>2</v>
      </c>
      <c r="I5520" s="6" t="s">
        <v>14266</v>
      </c>
      <c r="J5520" s="5">
        <v>520</v>
      </c>
    </row>
    <row r="5521" s="2" customFormat="1" spans="1:10">
      <c r="A5521" s="6">
        <f>5519</f>
        <v>5519</v>
      </c>
      <c r="B5521" s="6" t="s">
        <v>14267</v>
      </c>
      <c r="C5521" s="6" t="s">
        <v>12</v>
      </c>
      <c r="D5521" s="6" t="s">
        <v>14138</v>
      </c>
      <c r="E5521" s="6" t="s">
        <v>14229</v>
      </c>
      <c r="F5521" s="6" t="s">
        <v>14268</v>
      </c>
      <c r="G5521" s="6" t="s">
        <v>16</v>
      </c>
      <c r="H5521" s="5">
        <v>1</v>
      </c>
      <c r="I5521" s="6" t="s">
        <v>14268</v>
      </c>
      <c r="J5521" s="5">
        <v>460</v>
      </c>
    </row>
    <row r="5522" s="2" customFormat="1" spans="1:10">
      <c r="A5522" s="6">
        <f>5520</f>
        <v>5520</v>
      </c>
      <c r="B5522" s="6" t="s">
        <v>14269</v>
      </c>
      <c r="C5522" s="6" t="s">
        <v>12</v>
      </c>
      <c r="D5522" s="6" t="s">
        <v>14138</v>
      </c>
      <c r="E5522" s="6" t="s">
        <v>14270</v>
      </c>
      <c r="F5522" s="6" t="s">
        <v>14271</v>
      </c>
      <c r="G5522" s="6" t="s">
        <v>16</v>
      </c>
      <c r="H5522" s="5">
        <v>1</v>
      </c>
      <c r="I5522" s="6" t="s">
        <v>14271</v>
      </c>
      <c r="J5522" s="5">
        <v>385</v>
      </c>
    </row>
    <row r="5523" s="2" customFormat="1" ht="27" spans="1:10">
      <c r="A5523" s="6">
        <f>5521</f>
        <v>5521</v>
      </c>
      <c r="B5523" s="6" t="s">
        <v>14272</v>
      </c>
      <c r="C5523" s="6" t="s">
        <v>12</v>
      </c>
      <c r="D5523" s="6" t="s">
        <v>14138</v>
      </c>
      <c r="E5523" s="6" t="s">
        <v>14270</v>
      </c>
      <c r="F5523" s="6" t="s">
        <v>14273</v>
      </c>
      <c r="G5523" s="6" t="s">
        <v>16</v>
      </c>
      <c r="H5523" s="5">
        <v>4</v>
      </c>
      <c r="I5523" s="6" t="s">
        <v>14274</v>
      </c>
      <c r="J5523" s="5">
        <v>740</v>
      </c>
    </row>
    <row r="5524" s="2" customFormat="1" ht="27" spans="1:10">
      <c r="A5524" s="6">
        <f>5522</f>
        <v>5522</v>
      </c>
      <c r="B5524" s="6" t="s">
        <v>14275</v>
      </c>
      <c r="C5524" s="6" t="s">
        <v>12</v>
      </c>
      <c r="D5524" s="6" t="s">
        <v>14138</v>
      </c>
      <c r="E5524" s="6" t="s">
        <v>14270</v>
      </c>
      <c r="F5524" s="6" t="s">
        <v>14276</v>
      </c>
      <c r="G5524" s="6" t="s">
        <v>16</v>
      </c>
      <c r="H5524" s="5">
        <v>6</v>
      </c>
      <c r="I5524" s="6" t="s">
        <v>14277</v>
      </c>
      <c r="J5524" s="5">
        <v>1060</v>
      </c>
    </row>
    <row r="5525" s="2" customFormat="1" spans="1:10">
      <c r="A5525" s="6">
        <f>5523</f>
        <v>5523</v>
      </c>
      <c r="B5525" s="6" t="s">
        <v>14278</v>
      </c>
      <c r="C5525" s="6" t="s">
        <v>12</v>
      </c>
      <c r="D5525" s="6" t="s">
        <v>14138</v>
      </c>
      <c r="E5525" s="6" t="s">
        <v>14270</v>
      </c>
      <c r="F5525" s="6" t="s">
        <v>14279</v>
      </c>
      <c r="G5525" s="6" t="s">
        <v>16</v>
      </c>
      <c r="H5525" s="5">
        <v>1</v>
      </c>
      <c r="I5525" s="6" t="s">
        <v>14279</v>
      </c>
      <c r="J5525" s="5">
        <v>340</v>
      </c>
    </row>
    <row r="5526" s="2" customFormat="1" spans="1:10">
      <c r="A5526" s="6">
        <f>5524</f>
        <v>5524</v>
      </c>
      <c r="B5526" s="6" t="s">
        <v>14280</v>
      </c>
      <c r="C5526" s="6" t="s">
        <v>12</v>
      </c>
      <c r="D5526" s="6" t="s">
        <v>14138</v>
      </c>
      <c r="E5526" s="6" t="s">
        <v>14270</v>
      </c>
      <c r="F5526" s="6" t="s">
        <v>14281</v>
      </c>
      <c r="G5526" s="6" t="s">
        <v>16</v>
      </c>
      <c r="H5526" s="5">
        <v>3</v>
      </c>
      <c r="I5526" s="6" t="s">
        <v>14282</v>
      </c>
      <c r="J5526" s="5">
        <v>780</v>
      </c>
    </row>
    <row r="5527" s="2" customFormat="1" spans="1:10">
      <c r="A5527" s="6">
        <f>5525</f>
        <v>5525</v>
      </c>
      <c r="B5527" s="6" t="s">
        <v>14283</v>
      </c>
      <c r="C5527" s="6" t="s">
        <v>12</v>
      </c>
      <c r="D5527" s="6" t="s">
        <v>14138</v>
      </c>
      <c r="E5527" s="6" t="s">
        <v>14270</v>
      </c>
      <c r="F5527" s="6" t="s">
        <v>14284</v>
      </c>
      <c r="G5527" s="6" t="s">
        <v>16</v>
      </c>
      <c r="H5527" s="5">
        <v>2</v>
      </c>
      <c r="I5527" s="6" t="s">
        <v>14285</v>
      </c>
      <c r="J5527" s="5">
        <v>560</v>
      </c>
    </row>
    <row r="5528" s="2" customFormat="1" spans="1:10">
      <c r="A5528" s="6">
        <f>5526</f>
        <v>5526</v>
      </c>
      <c r="B5528" s="6" t="s">
        <v>14286</v>
      </c>
      <c r="C5528" s="6" t="s">
        <v>12</v>
      </c>
      <c r="D5528" s="6" t="s">
        <v>14138</v>
      </c>
      <c r="E5528" s="6" t="s">
        <v>14270</v>
      </c>
      <c r="F5528" s="6" t="s">
        <v>14287</v>
      </c>
      <c r="G5528" s="6" t="s">
        <v>16</v>
      </c>
      <c r="H5528" s="5">
        <v>1</v>
      </c>
      <c r="I5528" s="6" t="s">
        <v>14287</v>
      </c>
      <c r="J5528" s="5">
        <v>440</v>
      </c>
    </row>
    <row r="5529" s="2" customFormat="1" spans="1:10">
      <c r="A5529" s="6">
        <f>5527</f>
        <v>5527</v>
      </c>
      <c r="B5529" s="6" t="s">
        <v>14288</v>
      </c>
      <c r="C5529" s="6" t="s">
        <v>12</v>
      </c>
      <c r="D5529" s="6" t="s">
        <v>14138</v>
      </c>
      <c r="E5529" s="6" t="s">
        <v>14270</v>
      </c>
      <c r="F5529" s="6" t="s">
        <v>14289</v>
      </c>
      <c r="G5529" s="6" t="s">
        <v>16</v>
      </c>
      <c r="H5529" s="5">
        <v>1</v>
      </c>
      <c r="I5529" s="6" t="s">
        <v>14289</v>
      </c>
      <c r="J5529" s="5">
        <v>448</v>
      </c>
    </row>
    <row r="5530" s="2" customFormat="1" ht="27" spans="1:10">
      <c r="A5530" s="6">
        <f>5528</f>
        <v>5528</v>
      </c>
      <c r="B5530" s="6" t="s">
        <v>14290</v>
      </c>
      <c r="C5530" s="6" t="s">
        <v>12</v>
      </c>
      <c r="D5530" s="6" t="s">
        <v>14138</v>
      </c>
      <c r="E5530" s="6" t="s">
        <v>14270</v>
      </c>
      <c r="F5530" s="6" t="s">
        <v>14291</v>
      </c>
      <c r="G5530" s="6" t="s">
        <v>16</v>
      </c>
      <c r="H5530" s="5">
        <v>5</v>
      </c>
      <c r="I5530" s="6" t="s">
        <v>14292</v>
      </c>
      <c r="J5530" s="5">
        <v>820</v>
      </c>
    </row>
    <row r="5531" s="2" customFormat="1" spans="1:10">
      <c r="A5531" s="6">
        <f>5529</f>
        <v>5529</v>
      </c>
      <c r="B5531" s="6" t="s">
        <v>14293</v>
      </c>
      <c r="C5531" s="6" t="s">
        <v>12</v>
      </c>
      <c r="D5531" s="6" t="s">
        <v>14138</v>
      </c>
      <c r="E5531" s="6" t="s">
        <v>14270</v>
      </c>
      <c r="F5531" s="6" t="s">
        <v>14294</v>
      </c>
      <c r="G5531" s="6" t="s">
        <v>16</v>
      </c>
      <c r="H5531" s="5">
        <v>3</v>
      </c>
      <c r="I5531" s="6" t="s">
        <v>14295</v>
      </c>
      <c r="J5531" s="5">
        <v>605</v>
      </c>
    </row>
    <row r="5532" s="2" customFormat="1" ht="27" spans="1:10">
      <c r="A5532" s="6">
        <f>5530</f>
        <v>5530</v>
      </c>
      <c r="B5532" s="6" t="s">
        <v>14296</v>
      </c>
      <c r="C5532" s="6" t="s">
        <v>12</v>
      </c>
      <c r="D5532" s="6" t="s">
        <v>14138</v>
      </c>
      <c r="E5532" s="6" t="s">
        <v>14270</v>
      </c>
      <c r="F5532" s="6" t="s">
        <v>14297</v>
      </c>
      <c r="G5532" s="6" t="s">
        <v>16</v>
      </c>
      <c r="H5532" s="5">
        <v>4</v>
      </c>
      <c r="I5532" s="6" t="s">
        <v>14298</v>
      </c>
      <c r="J5532" s="5">
        <v>740</v>
      </c>
    </row>
    <row r="5533" s="2" customFormat="1" spans="1:10">
      <c r="A5533" s="6">
        <f>5531</f>
        <v>5531</v>
      </c>
      <c r="B5533" s="6" t="s">
        <v>14299</v>
      </c>
      <c r="C5533" s="6" t="s">
        <v>12</v>
      </c>
      <c r="D5533" s="6" t="s">
        <v>14138</v>
      </c>
      <c r="E5533" s="6" t="s">
        <v>14270</v>
      </c>
      <c r="F5533" s="6" t="s">
        <v>14300</v>
      </c>
      <c r="G5533" s="6" t="s">
        <v>16</v>
      </c>
      <c r="H5533" s="5">
        <v>1</v>
      </c>
      <c r="I5533" s="6" t="s">
        <v>14300</v>
      </c>
      <c r="J5533" s="5">
        <v>340</v>
      </c>
    </row>
    <row r="5534" s="2" customFormat="1" spans="1:10">
      <c r="A5534" s="6">
        <f>5532</f>
        <v>5532</v>
      </c>
      <c r="B5534" s="6" t="s">
        <v>14301</v>
      </c>
      <c r="C5534" s="6" t="s">
        <v>12</v>
      </c>
      <c r="D5534" s="6" t="s">
        <v>14138</v>
      </c>
      <c r="E5534" s="6" t="s">
        <v>14270</v>
      </c>
      <c r="F5534" s="6" t="s">
        <v>14302</v>
      </c>
      <c r="G5534" s="6" t="s">
        <v>16</v>
      </c>
      <c r="H5534" s="5">
        <v>1</v>
      </c>
      <c r="I5534" s="6" t="s">
        <v>14302</v>
      </c>
      <c r="J5534" s="5">
        <v>480</v>
      </c>
    </row>
    <row r="5535" s="2" customFormat="1" spans="1:10">
      <c r="A5535" s="6">
        <f>5533</f>
        <v>5533</v>
      </c>
      <c r="B5535" s="6" t="s">
        <v>14303</v>
      </c>
      <c r="C5535" s="6" t="s">
        <v>12</v>
      </c>
      <c r="D5535" s="6" t="s">
        <v>14138</v>
      </c>
      <c r="E5535" s="6" t="s">
        <v>14270</v>
      </c>
      <c r="F5535" s="6" t="s">
        <v>14304</v>
      </c>
      <c r="G5535" s="6" t="s">
        <v>16</v>
      </c>
      <c r="H5535" s="5">
        <v>1</v>
      </c>
      <c r="I5535" s="6" t="s">
        <v>14304</v>
      </c>
      <c r="J5535" s="5">
        <v>520</v>
      </c>
    </row>
    <row r="5536" s="2" customFormat="1" spans="1:10">
      <c r="A5536" s="6">
        <f>5534</f>
        <v>5534</v>
      </c>
      <c r="B5536" s="6" t="s">
        <v>14305</v>
      </c>
      <c r="C5536" s="6" t="s">
        <v>12</v>
      </c>
      <c r="D5536" s="6" t="s">
        <v>14138</v>
      </c>
      <c r="E5536" s="6" t="s">
        <v>14306</v>
      </c>
      <c r="F5536" s="6" t="s">
        <v>14307</v>
      </c>
      <c r="G5536" s="6" t="s">
        <v>16</v>
      </c>
      <c r="H5536" s="5">
        <v>2</v>
      </c>
      <c r="I5536" s="6" t="s">
        <v>14308</v>
      </c>
      <c r="J5536" s="5">
        <v>530</v>
      </c>
    </row>
    <row r="5537" s="2" customFormat="1" ht="27" spans="1:10">
      <c r="A5537" s="6">
        <f>5535</f>
        <v>5535</v>
      </c>
      <c r="B5537" s="6" t="s">
        <v>14309</v>
      </c>
      <c r="C5537" s="6" t="s">
        <v>12</v>
      </c>
      <c r="D5537" s="6" t="s">
        <v>14138</v>
      </c>
      <c r="E5537" s="6" t="s">
        <v>14306</v>
      </c>
      <c r="F5537" s="6" t="s">
        <v>14310</v>
      </c>
      <c r="G5537" s="6" t="s">
        <v>16</v>
      </c>
      <c r="H5537" s="5">
        <v>5</v>
      </c>
      <c r="I5537" s="6" t="s">
        <v>14311</v>
      </c>
      <c r="J5537" s="5">
        <v>1500</v>
      </c>
    </row>
    <row r="5538" s="2" customFormat="1" spans="1:10">
      <c r="A5538" s="6">
        <f>5536</f>
        <v>5536</v>
      </c>
      <c r="B5538" s="6" t="s">
        <v>14312</v>
      </c>
      <c r="C5538" s="6" t="s">
        <v>12</v>
      </c>
      <c r="D5538" s="6" t="s">
        <v>14138</v>
      </c>
      <c r="E5538" s="6" t="s">
        <v>14306</v>
      </c>
      <c r="F5538" s="6" t="s">
        <v>14313</v>
      </c>
      <c r="G5538" s="6" t="s">
        <v>16</v>
      </c>
      <c r="H5538" s="5">
        <v>2</v>
      </c>
      <c r="I5538" s="6" t="s">
        <v>14314</v>
      </c>
      <c r="J5538" s="5">
        <v>620</v>
      </c>
    </row>
    <row r="5539" s="2" customFormat="1" spans="1:10">
      <c r="A5539" s="6">
        <f>5537</f>
        <v>5537</v>
      </c>
      <c r="B5539" s="6" t="s">
        <v>14315</v>
      </c>
      <c r="C5539" s="6" t="s">
        <v>12</v>
      </c>
      <c r="D5539" s="6" t="s">
        <v>14138</v>
      </c>
      <c r="E5539" s="6" t="s">
        <v>14306</v>
      </c>
      <c r="F5539" s="6" t="s">
        <v>14316</v>
      </c>
      <c r="G5539" s="6" t="s">
        <v>16</v>
      </c>
      <c r="H5539" s="5">
        <v>2</v>
      </c>
      <c r="I5539" s="6" t="s">
        <v>14317</v>
      </c>
      <c r="J5539" s="5">
        <v>620</v>
      </c>
    </row>
    <row r="5540" s="2" customFormat="1" ht="27" spans="1:10">
      <c r="A5540" s="6">
        <f>5538</f>
        <v>5538</v>
      </c>
      <c r="B5540" s="6" t="s">
        <v>14318</v>
      </c>
      <c r="C5540" s="6" t="s">
        <v>12</v>
      </c>
      <c r="D5540" s="6" t="s">
        <v>14138</v>
      </c>
      <c r="E5540" s="6" t="s">
        <v>14306</v>
      </c>
      <c r="F5540" s="6" t="s">
        <v>14319</v>
      </c>
      <c r="G5540" s="6" t="s">
        <v>16</v>
      </c>
      <c r="H5540" s="5">
        <v>4</v>
      </c>
      <c r="I5540" s="6" t="s">
        <v>14320</v>
      </c>
      <c r="J5540" s="5">
        <v>690</v>
      </c>
    </row>
    <row r="5541" s="2" customFormat="1" spans="1:10">
      <c r="A5541" s="6">
        <f>5539</f>
        <v>5539</v>
      </c>
      <c r="B5541" s="6" t="s">
        <v>14321</v>
      </c>
      <c r="C5541" s="6" t="s">
        <v>12</v>
      </c>
      <c r="D5541" s="6" t="s">
        <v>14138</v>
      </c>
      <c r="E5541" s="6" t="s">
        <v>14306</v>
      </c>
      <c r="F5541" s="6" t="s">
        <v>14322</v>
      </c>
      <c r="G5541" s="6" t="s">
        <v>16</v>
      </c>
      <c r="H5541" s="5">
        <v>1</v>
      </c>
      <c r="I5541" s="6" t="s">
        <v>14322</v>
      </c>
      <c r="J5541" s="5">
        <v>365</v>
      </c>
    </row>
    <row r="5542" s="2" customFormat="1" spans="1:10">
      <c r="A5542" s="6">
        <f>5540</f>
        <v>5540</v>
      </c>
      <c r="B5542" s="6" t="s">
        <v>14323</v>
      </c>
      <c r="C5542" s="6" t="s">
        <v>12</v>
      </c>
      <c r="D5542" s="6" t="s">
        <v>14138</v>
      </c>
      <c r="E5542" s="6" t="s">
        <v>14306</v>
      </c>
      <c r="F5542" s="6" t="s">
        <v>14324</v>
      </c>
      <c r="G5542" s="6" t="s">
        <v>16</v>
      </c>
      <c r="H5542" s="5">
        <v>2</v>
      </c>
      <c r="I5542" s="6" t="s">
        <v>14325</v>
      </c>
      <c r="J5542" s="5">
        <v>720</v>
      </c>
    </row>
    <row r="5543" s="2" customFormat="1" ht="27" spans="1:10">
      <c r="A5543" s="6">
        <f>5541</f>
        <v>5541</v>
      </c>
      <c r="B5543" s="6" t="s">
        <v>14326</v>
      </c>
      <c r="C5543" s="6" t="s">
        <v>12</v>
      </c>
      <c r="D5543" s="6" t="s">
        <v>14138</v>
      </c>
      <c r="E5543" s="6" t="s">
        <v>14306</v>
      </c>
      <c r="F5543" s="6" t="s">
        <v>14327</v>
      </c>
      <c r="G5543" s="6" t="s">
        <v>16</v>
      </c>
      <c r="H5543" s="5">
        <v>5</v>
      </c>
      <c r="I5543" s="6" t="s">
        <v>14328</v>
      </c>
      <c r="J5543" s="5">
        <v>1000</v>
      </c>
    </row>
    <row r="5544" s="2" customFormat="1" ht="27" spans="1:10">
      <c r="A5544" s="6">
        <f>5542</f>
        <v>5542</v>
      </c>
      <c r="B5544" s="6" t="s">
        <v>14329</v>
      </c>
      <c r="C5544" s="6" t="s">
        <v>12</v>
      </c>
      <c r="D5544" s="6" t="s">
        <v>14138</v>
      </c>
      <c r="E5544" s="6" t="s">
        <v>14306</v>
      </c>
      <c r="F5544" s="6" t="s">
        <v>14330</v>
      </c>
      <c r="G5544" s="6" t="s">
        <v>16</v>
      </c>
      <c r="H5544" s="5">
        <v>4</v>
      </c>
      <c r="I5544" s="6" t="s">
        <v>14331</v>
      </c>
      <c r="J5544" s="5">
        <v>760</v>
      </c>
    </row>
    <row r="5545" s="2" customFormat="1" ht="27" spans="1:10">
      <c r="A5545" s="6">
        <f>5543</f>
        <v>5543</v>
      </c>
      <c r="B5545" s="6" t="s">
        <v>14332</v>
      </c>
      <c r="C5545" s="6" t="s">
        <v>12</v>
      </c>
      <c r="D5545" s="6" t="s">
        <v>14138</v>
      </c>
      <c r="E5545" s="6" t="s">
        <v>14306</v>
      </c>
      <c r="F5545" s="6" t="s">
        <v>14333</v>
      </c>
      <c r="G5545" s="6" t="s">
        <v>16</v>
      </c>
      <c r="H5545" s="5">
        <v>5</v>
      </c>
      <c r="I5545" s="6" t="s">
        <v>14334</v>
      </c>
      <c r="J5545" s="5">
        <v>1000</v>
      </c>
    </row>
    <row r="5546" s="2" customFormat="1" ht="27" spans="1:10">
      <c r="A5546" s="6">
        <f>5544</f>
        <v>5544</v>
      </c>
      <c r="B5546" s="6" t="s">
        <v>14335</v>
      </c>
      <c r="C5546" s="6" t="s">
        <v>12</v>
      </c>
      <c r="D5546" s="6" t="s">
        <v>14138</v>
      </c>
      <c r="E5546" s="6" t="s">
        <v>14306</v>
      </c>
      <c r="F5546" s="6" t="s">
        <v>14336</v>
      </c>
      <c r="G5546" s="6" t="s">
        <v>16</v>
      </c>
      <c r="H5546" s="5">
        <v>6</v>
      </c>
      <c r="I5546" s="6" t="s">
        <v>14337</v>
      </c>
      <c r="J5546" s="5">
        <v>1224</v>
      </c>
    </row>
    <row r="5547" s="2" customFormat="1" spans="1:10">
      <c r="A5547" s="6">
        <f>5545</f>
        <v>5545</v>
      </c>
      <c r="B5547" s="6" t="s">
        <v>14338</v>
      </c>
      <c r="C5547" s="6" t="s">
        <v>12</v>
      </c>
      <c r="D5547" s="6" t="s">
        <v>14138</v>
      </c>
      <c r="E5547" s="6" t="s">
        <v>14306</v>
      </c>
      <c r="F5547" s="6" t="s">
        <v>14339</v>
      </c>
      <c r="G5547" s="6" t="s">
        <v>16</v>
      </c>
      <c r="H5547" s="5">
        <v>3</v>
      </c>
      <c r="I5547" s="6" t="s">
        <v>14340</v>
      </c>
      <c r="J5547" s="5">
        <v>1020</v>
      </c>
    </row>
    <row r="5548" s="2" customFormat="1" spans="1:10">
      <c r="A5548" s="6">
        <f>5546</f>
        <v>5546</v>
      </c>
      <c r="B5548" s="6" t="s">
        <v>14341</v>
      </c>
      <c r="C5548" s="6" t="s">
        <v>12</v>
      </c>
      <c r="D5548" s="6" t="s">
        <v>14138</v>
      </c>
      <c r="E5548" s="6" t="s">
        <v>14306</v>
      </c>
      <c r="F5548" s="6" t="s">
        <v>14342</v>
      </c>
      <c r="G5548" s="6" t="s">
        <v>16</v>
      </c>
      <c r="H5548" s="5">
        <v>2</v>
      </c>
      <c r="I5548" s="6" t="s">
        <v>14343</v>
      </c>
      <c r="J5548" s="5">
        <v>1040</v>
      </c>
    </row>
    <row r="5549" s="2" customFormat="1" spans="1:10">
      <c r="A5549" s="6">
        <f>5547</f>
        <v>5547</v>
      </c>
      <c r="B5549" s="6" t="s">
        <v>14344</v>
      </c>
      <c r="C5549" s="6" t="s">
        <v>12</v>
      </c>
      <c r="D5549" s="6" t="s">
        <v>14138</v>
      </c>
      <c r="E5549" s="6" t="s">
        <v>14306</v>
      </c>
      <c r="F5549" s="6" t="s">
        <v>14345</v>
      </c>
      <c r="G5549" s="6" t="s">
        <v>16</v>
      </c>
      <c r="H5549" s="5">
        <v>1</v>
      </c>
      <c r="I5549" s="6" t="s">
        <v>14345</v>
      </c>
      <c r="J5549" s="5">
        <v>620</v>
      </c>
    </row>
    <row r="5550" s="2" customFormat="1" ht="27" spans="1:10">
      <c r="A5550" s="6">
        <f>5548</f>
        <v>5548</v>
      </c>
      <c r="B5550" s="6" t="s">
        <v>14346</v>
      </c>
      <c r="C5550" s="6" t="s">
        <v>12</v>
      </c>
      <c r="D5550" s="6" t="s">
        <v>14138</v>
      </c>
      <c r="E5550" s="6" t="s">
        <v>14306</v>
      </c>
      <c r="F5550" s="6" t="s">
        <v>14347</v>
      </c>
      <c r="G5550" s="6" t="s">
        <v>16</v>
      </c>
      <c r="H5550" s="5">
        <v>4</v>
      </c>
      <c r="I5550" s="6" t="s">
        <v>14348</v>
      </c>
      <c r="J5550" s="5">
        <v>960</v>
      </c>
    </row>
    <row r="5551" s="2" customFormat="1" spans="1:10">
      <c r="A5551" s="6">
        <f>5549</f>
        <v>5549</v>
      </c>
      <c r="B5551" s="6" t="s">
        <v>14349</v>
      </c>
      <c r="C5551" s="6" t="s">
        <v>12</v>
      </c>
      <c r="D5551" s="6" t="s">
        <v>14138</v>
      </c>
      <c r="E5551" s="6" t="s">
        <v>14306</v>
      </c>
      <c r="F5551" s="6" t="s">
        <v>14350</v>
      </c>
      <c r="G5551" s="6" t="s">
        <v>16</v>
      </c>
      <c r="H5551" s="5">
        <v>1</v>
      </c>
      <c r="I5551" s="6" t="s">
        <v>14350</v>
      </c>
      <c r="J5551" s="5">
        <v>345</v>
      </c>
    </row>
    <row r="5552" s="2" customFormat="1" spans="1:10">
      <c r="A5552" s="6">
        <f>5550</f>
        <v>5550</v>
      </c>
      <c r="B5552" s="6" t="s">
        <v>14351</v>
      </c>
      <c r="C5552" s="6" t="s">
        <v>12</v>
      </c>
      <c r="D5552" s="6" t="s">
        <v>14138</v>
      </c>
      <c r="E5552" s="6" t="s">
        <v>14306</v>
      </c>
      <c r="F5552" s="6" t="s">
        <v>14352</v>
      </c>
      <c r="G5552" s="6" t="s">
        <v>16</v>
      </c>
      <c r="H5552" s="5">
        <v>2</v>
      </c>
      <c r="I5552" s="6" t="s">
        <v>14353</v>
      </c>
      <c r="J5552" s="5">
        <v>770</v>
      </c>
    </row>
    <row r="5553" s="2" customFormat="1" spans="1:10">
      <c r="A5553" s="6">
        <f>5551</f>
        <v>5551</v>
      </c>
      <c r="B5553" s="6" t="s">
        <v>14354</v>
      </c>
      <c r="C5553" s="6" t="s">
        <v>12</v>
      </c>
      <c r="D5553" s="6" t="s">
        <v>14138</v>
      </c>
      <c r="E5553" s="6" t="s">
        <v>14306</v>
      </c>
      <c r="F5553" s="6" t="s">
        <v>14355</v>
      </c>
      <c r="G5553" s="6" t="s">
        <v>16</v>
      </c>
      <c r="H5553" s="5">
        <v>1</v>
      </c>
      <c r="I5553" s="6" t="s">
        <v>14355</v>
      </c>
      <c r="J5553" s="5">
        <v>490</v>
      </c>
    </row>
    <row r="5554" s="2" customFormat="1" spans="1:10">
      <c r="A5554" s="6">
        <f>5552</f>
        <v>5552</v>
      </c>
      <c r="B5554" s="6" t="s">
        <v>14356</v>
      </c>
      <c r="C5554" s="6" t="s">
        <v>12</v>
      </c>
      <c r="D5554" s="6" t="s">
        <v>14138</v>
      </c>
      <c r="E5554" s="6" t="s">
        <v>14306</v>
      </c>
      <c r="F5554" s="6" t="s">
        <v>14357</v>
      </c>
      <c r="G5554" s="6" t="s">
        <v>16</v>
      </c>
      <c r="H5554" s="5">
        <v>3</v>
      </c>
      <c r="I5554" s="6" t="s">
        <v>14358</v>
      </c>
      <c r="J5554" s="5">
        <v>820</v>
      </c>
    </row>
    <row r="5555" s="2" customFormat="1" ht="27" spans="1:10">
      <c r="A5555" s="6">
        <f>5553</f>
        <v>5553</v>
      </c>
      <c r="B5555" s="6" t="s">
        <v>14359</v>
      </c>
      <c r="C5555" s="6" t="s">
        <v>12</v>
      </c>
      <c r="D5555" s="6" t="s">
        <v>14138</v>
      </c>
      <c r="E5555" s="6" t="s">
        <v>14306</v>
      </c>
      <c r="F5555" s="6" t="s">
        <v>14360</v>
      </c>
      <c r="G5555" s="6" t="s">
        <v>16</v>
      </c>
      <c r="H5555" s="5">
        <v>4</v>
      </c>
      <c r="I5555" s="6" t="s">
        <v>14361</v>
      </c>
      <c r="J5555" s="5">
        <v>2240</v>
      </c>
    </row>
    <row r="5556" s="2" customFormat="1" spans="1:10">
      <c r="A5556" s="6">
        <f>5554</f>
        <v>5554</v>
      </c>
      <c r="B5556" s="6" t="s">
        <v>14362</v>
      </c>
      <c r="C5556" s="6" t="s">
        <v>12</v>
      </c>
      <c r="D5556" s="6" t="s">
        <v>14138</v>
      </c>
      <c r="E5556" s="6" t="s">
        <v>14306</v>
      </c>
      <c r="F5556" s="6" t="s">
        <v>14363</v>
      </c>
      <c r="G5556" s="6" t="s">
        <v>16</v>
      </c>
      <c r="H5556" s="5">
        <v>2</v>
      </c>
      <c r="I5556" s="6" t="s">
        <v>14364</v>
      </c>
      <c r="J5556" s="5">
        <v>770</v>
      </c>
    </row>
    <row r="5557" s="2" customFormat="1" spans="1:10">
      <c r="A5557" s="6">
        <f>5555</f>
        <v>5555</v>
      </c>
      <c r="B5557" s="6" t="s">
        <v>14365</v>
      </c>
      <c r="C5557" s="6" t="s">
        <v>12</v>
      </c>
      <c r="D5557" s="6" t="s">
        <v>14138</v>
      </c>
      <c r="E5557" s="6" t="s">
        <v>14306</v>
      </c>
      <c r="F5557" s="6" t="s">
        <v>14366</v>
      </c>
      <c r="G5557" s="6" t="s">
        <v>16</v>
      </c>
      <c r="H5557" s="5">
        <v>1</v>
      </c>
      <c r="I5557" s="6" t="s">
        <v>14366</v>
      </c>
      <c r="J5557" s="5">
        <v>460</v>
      </c>
    </row>
    <row r="5558" s="2" customFormat="1" ht="27" spans="1:10">
      <c r="A5558" s="6">
        <f>5556</f>
        <v>5556</v>
      </c>
      <c r="B5558" s="6" t="s">
        <v>14367</v>
      </c>
      <c r="C5558" s="6" t="s">
        <v>12</v>
      </c>
      <c r="D5558" s="6" t="s">
        <v>14138</v>
      </c>
      <c r="E5558" s="6" t="s">
        <v>14306</v>
      </c>
      <c r="F5558" s="6" t="s">
        <v>14368</v>
      </c>
      <c r="G5558" s="6" t="s">
        <v>16</v>
      </c>
      <c r="H5558" s="5">
        <v>4</v>
      </c>
      <c r="I5558" s="6" t="s">
        <v>14369</v>
      </c>
      <c r="J5558" s="5">
        <v>1190</v>
      </c>
    </row>
    <row r="5559" s="2" customFormat="1" spans="1:10">
      <c r="A5559" s="6">
        <f>5557</f>
        <v>5557</v>
      </c>
      <c r="B5559" s="6" t="s">
        <v>14370</v>
      </c>
      <c r="C5559" s="6" t="s">
        <v>12</v>
      </c>
      <c r="D5559" s="6" t="s">
        <v>14138</v>
      </c>
      <c r="E5559" s="6" t="s">
        <v>14306</v>
      </c>
      <c r="F5559" s="6" t="s">
        <v>14371</v>
      </c>
      <c r="G5559" s="6" t="s">
        <v>16</v>
      </c>
      <c r="H5559" s="5">
        <v>1</v>
      </c>
      <c r="I5559" s="6" t="s">
        <v>14371</v>
      </c>
      <c r="J5559" s="5">
        <v>400</v>
      </c>
    </row>
    <row r="5560" s="2" customFormat="1" spans="1:10">
      <c r="A5560" s="6">
        <f>5558</f>
        <v>5558</v>
      </c>
      <c r="B5560" s="6" t="s">
        <v>14372</v>
      </c>
      <c r="C5560" s="6" t="s">
        <v>12</v>
      </c>
      <c r="D5560" s="6" t="s">
        <v>14138</v>
      </c>
      <c r="E5560" s="6" t="s">
        <v>14306</v>
      </c>
      <c r="F5560" s="6" t="s">
        <v>14373</v>
      </c>
      <c r="G5560" s="6" t="s">
        <v>16</v>
      </c>
      <c r="H5560" s="5">
        <v>1</v>
      </c>
      <c r="I5560" s="6" t="s">
        <v>14373</v>
      </c>
      <c r="J5560" s="5">
        <v>360</v>
      </c>
    </row>
    <row r="5561" s="2" customFormat="1" ht="27" spans="1:10">
      <c r="A5561" s="6">
        <f>5559</f>
        <v>5559</v>
      </c>
      <c r="B5561" s="6" t="s">
        <v>14374</v>
      </c>
      <c r="C5561" s="6" t="s">
        <v>12</v>
      </c>
      <c r="D5561" s="6" t="s">
        <v>14138</v>
      </c>
      <c r="E5561" s="6" t="s">
        <v>14306</v>
      </c>
      <c r="F5561" s="6" t="s">
        <v>14375</v>
      </c>
      <c r="G5561" s="6" t="s">
        <v>16</v>
      </c>
      <c r="H5561" s="5">
        <v>5</v>
      </c>
      <c r="I5561" s="6" t="s">
        <v>14376</v>
      </c>
      <c r="J5561" s="5">
        <v>2299</v>
      </c>
    </row>
    <row r="5562" s="2" customFormat="1" spans="1:10">
      <c r="A5562" s="6">
        <f>5560</f>
        <v>5560</v>
      </c>
      <c r="B5562" s="6" t="s">
        <v>14377</v>
      </c>
      <c r="C5562" s="6" t="s">
        <v>12</v>
      </c>
      <c r="D5562" s="6" t="s">
        <v>14138</v>
      </c>
      <c r="E5562" s="6" t="s">
        <v>14378</v>
      </c>
      <c r="F5562" s="6" t="s">
        <v>14379</v>
      </c>
      <c r="G5562" s="6" t="s">
        <v>16</v>
      </c>
      <c r="H5562" s="5">
        <v>1</v>
      </c>
      <c r="I5562" s="6" t="s">
        <v>14379</v>
      </c>
      <c r="J5562" s="5">
        <v>440</v>
      </c>
    </row>
    <row r="5563" s="2" customFormat="1" spans="1:10">
      <c r="A5563" s="6">
        <f>5561</f>
        <v>5561</v>
      </c>
      <c r="B5563" s="6" t="s">
        <v>14380</v>
      </c>
      <c r="C5563" s="6" t="s">
        <v>12</v>
      </c>
      <c r="D5563" s="6" t="s">
        <v>14138</v>
      </c>
      <c r="E5563" s="6" t="s">
        <v>14378</v>
      </c>
      <c r="F5563" s="6" t="s">
        <v>14381</v>
      </c>
      <c r="G5563" s="6" t="s">
        <v>16</v>
      </c>
      <c r="H5563" s="5">
        <v>3</v>
      </c>
      <c r="I5563" s="6" t="s">
        <v>14382</v>
      </c>
      <c r="J5563" s="5">
        <v>860</v>
      </c>
    </row>
    <row r="5564" s="2" customFormat="1" spans="1:10">
      <c r="A5564" s="6">
        <f>5562</f>
        <v>5562</v>
      </c>
      <c r="B5564" s="6" t="s">
        <v>14383</v>
      </c>
      <c r="C5564" s="6" t="s">
        <v>12</v>
      </c>
      <c r="D5564" s="6" t="s">
        <v>14138</v>
      </c>
      <c r="E5564" s="6" t="s">
        <v>14378</v>
      </c>
      <c r="F5564" s="6" t="s">
        <v>14384</v>
      </c>
      <c r="G5564" s="6" t="s">
        <v>16</v>
      </c>
      <c r="H5564" s="5">
        <v>3</v>
      </c>
      <c r="I5564" s="6" t="s">
        <v>14385</v>
      </c>
      <c r="J5564" s="5">
        <v>810</v>
      </c>
    </row>
    <row r="5565" s="2" customFormat="1" spans="1:10">
      <c r="A5565" s="6">
        <f>5563</f>
        <v>5563</v>
      </c>
      <c r="B5565" s="6" t="s">
        <v>14386</v>
      </c>
      <c r="C5565" s="6" t="s">
        <v>12</v>
      </c>
      <c r="D5565" s="6" t="s">
        <v>14138</v>
      </c>
      <c r="E5565" s="6" t="s">
        <v>14378</v>
      </c>
      <c r="F5565" s="6" t="s">
        <v>14387</v>
      </c>
      <c r="G5565" s="6" t="s">
        <v>16</v>
      </c>
      <c r="H5565" s="5">
        <v>2</v>
      </c>
      <c r="I5565" s="6" t="s">
        <v>14388</v>
      </c>
      <c r="J5565" s="5">
        <v>500</v>
      </c>
    </row>
    <row r="5566" s="2" customFormat="1" ht="27" spans="1:10">
      <c r="A5566" s="6">
        <f>5564</f>
        <v>5564</v>
      </c>
      <c r="B5566" s="6" t="s">
        <v>14389</v>
      </c>
      <c r="C5566" s="6" t="s">
        <v>12</v>
      </c>
      <c r="D5566" s="6" t="s">
        <v>14138</v>
      </c>
      <c r="E5566" s="6" t="s">
        <v>14378</v>
      </c>
      <c r="F5566" s="6" t="s">
        <v>14390</v>
      </c>
      <c r="G5566" s="6" t="s">
        <v>16</v>
      </c>
      <c r="H5566" s="5">
        <v>4</v>
      </c>
      <c r="I5566" s="6" t="s">
        <v>14391</v>
      </c>
      <c r="J5566" s="5">
        <v>1520</v>
      </c>
    </row>
    <row r="5567" s="2" customFormat="1" spans="1:10">
      <c r="A5567" s="6">
        <f>5565</f>
        <v>5565</v>
      </c>
      <c r="B5567" s="6" t="s">
        <v>14392</v>
      </c>
      <c r="C5567" s="6" t="s">
        <v>12</v>
      </c>
      <c r="D5567" s="6" t="s">
        <v>14138</v>
      </c>
      <c r="E5567" s="6" t="s">
        <v>14393</v>
      </c>
      <c r="F5567" s="6" t="s">
        <v>14394</v>
      </c>
      <c r="G5567" s="6" t="s">
        <v>16</v>
      </c>
      <c r="H5567" s="5">
        <v>2</v>
      </c>
      <c r="I5567" s="6" t="s">
        <v>14395</v>
      </c>
      <c r="J5567" s="5">
        <v>720</v>
      </c>
    </row>
    <row r="5568" s="2" customFormat="1" spans="1:10">
      <c r="A5568" s="6">
        <f>5566</f>
        <v>5566</v>
      </c>
      <c r="B5568" s="6" t="s">
        <v>14396</v>
      </c>
      <c r="C5568" s="6" t="s">
        <v>12</v>
      </c>
      <c r="D5568" s="6" t="s">
        <v>14138</v>
      </c>
      <c r="E5568" s="6" t="s">
        <v>14393</v>
      </c>
      <c r="F5568" s="6" t="s">
        <v>14397</v>
      </c>
      <c r="G5568" s="6" t="s">
        <v>16</v>
      </c>
      <c r="H5568" s="5">
        <v>1</v>
      </c>
      <c r="I5568" s="6" t="s">
        <v>14397</v>
      </c>
      <c r="J5568" s="5">
        <v>620</v>
      </c>
    </row>
    <row r="5569" s="2" customFormat="1" spans="1:10">
      <c r="A5569" s="6">
        <f>5567</f>
        <v>5567</v>
      </c>
      <c r="B5569" s="6" t="s">
        <v>14398</v>
      </c>
      <c r="C5569" s="6" t="s">
        <v>12</v>
      </c>
      <c r="D5569" s="6" t="s">
        <v>14138</v>
      </c>
      <c r="E5569" s="6" t="s">
        <v>14393</v>
      </c>
      <c r="F5569" s="6" t="s">
        <v>14399</v>
      </c>
      <c r="G5569" s="6" t="s">
        <v>16</v>
      </c>
      <c r="H5569" s="5">
        <v>3</v>
      </c>
      <c r="I5569" s="6" t="s">
        <v>14400</v>
      </c>
      <c r="J5569" s="5">
        <v>930</v>
      </c>
    </row>
    <row r="5570" s="2" customFormat="1" ht="27" spans="1:10">
      <c r="A5570" s="6">
        <f>5568</f>
        <v>5568</v>
      </c>
      <c r="B5570" s="6" t="s">
        <v>14401</v>
      </c>
      <c r="C5570" s="6" t="s">
        <v>12</v>
      </c>
      <c r="D5570" s="6" t="s">
        <v>14138</v>
      </c>
      <c r="E5570" s="6" t="s">
        <v>14393</v>
      </c>
      <c r="F5570" s="6" t="s">
        <v>14402</v>
      </c>
      <c r="G5570" s="6" t="s">
        <v>16</v>
      </c>
      <c r="H5570" s="5">
        <v>4</v>
      </c>
      <c r="I5570" s="6" t="s">
        <v>14403</v>
      </c>
      <c r="J5570" s="5">
        <v>960</v>
      </c>
    </row>
    <row r="5571" s="2" customFormat="1" spans="1:10">
      <c r="A5571" s="6">
        <f>5569</f>
        <v>5569</v>
      </c>
      <c r="B5571" s="6" t="s">
        <v>14404</v>
      </c>
      <c r="C5571" s="6" t="s">
        <v>12</v>
      </c>
      <c r="D5571" s="6" t="s">
        <v>14138</v>
      </c>
      <c r="E5571" s="6" t="s">
        <v>14393</v>
      </c>
      <c r="F5571" s="6" t="s">
        <v>14405</v>
      </c>
      <c r="G5571" s="6" t="s">
        <v>16</v>
      </c>
      <c r="H5571" s="5">
        <v>2</v>
      </c>
      <c r="I5571" s="6" t="s">
        <v>14406</v>
      </c>
      <c r="J5571" s="5">
        <v>700</v>
      </c>
    </row>
    <row r="5572" s="2" customFormat="1" ht="27" spans="1:10">
      <c r="A5572" s="6">
        <f>5570</f>
        <v>5570</v>
      </c>
      <c r="B5572" s="6" t="s">
        <v>14407</v>
      </c>
      <c r="C5572" s="6" t="s">
        <v>12</v>
      </c>
      <c r="D5572" s="6" t="s">
        <v>14138</v>
      </c>
      <c r="E5572" s="6" t="s">
        <v>14393</v>
      </c>
      <c r="F5572" s="6" t="s">
        <v>14408</v>
      </c>
      <c r="G5572" s="6" t="s">
        <v>16</v>
      </c>
      <c r="H5572" s="5">
        <v>5</v>
      </c>
      <c r="I5572" s="6" t="s">
        <v>14409</v>
      </c>
      <c r="J5572" s="5">
        <v>1560</v>
      </c>
    </row>
    <row r="5573" s="2" customFormat="1" ht="27" spans="1:10">
      <c r="A5573" s="6">
        <f>5571</f>
        <v>5571</v>
      </c>
      <c r="B5573" s="6" t="s">
        <v>14410</v>
      </c>
      <c r="C5573" s="6" t="s">
        <v>12</v>
      </c>
      <c r="D5573" s="6" t="s">
        <v>14138</v>
      </c>
      <c r="E5573" s="6" t="s">
        <v>14393</v>
      </c>
      <c r="F5573" s="6" t="s">
        <v>14411</v>
      </c>
      <c r="G5573" s="6" t="s">
        <v>16</v>
      </c>
      <c r="H5573" s="5">
        <v>5</v>
      </c>
      <c r="I5573" s="6" t="s">
        <v>14412</v>
      </c>
      <c r="J5573" s="5">
        <v>1525</v>
      </c>
    </row>
    <row r="5574" s="2" customFormat="1" spans="1:10">
      <c r="A5574" s="6">
        <f>5572</f>
        <v>5572</v>
      </c>
      <c r="B5574" s="6" t="s">
        <v>14413</v>
      </c>
      <c r="C5574" s="6" t="s">
        <v>12</v>
      </c>
      <c r="D5574" s="6" t="s">
        <v>14138</v>
      </c>
      <c r="E5574" s="6" t="s">
        <v>14393</v>
      </c>
      <c r="F5574" s="6" t="s">
        <v>14414</v>
      </c>
      <c r="G5574" s="6" t="s">
        <v>16</v>
      </c>
      <c r="H5574" s="5">
        <v>1</v>
      </c>
      <c r="I5574" s="6" t="s">
        <v>14414</v>
      </c>
      <c r="J5574" s="5">
        <v>360</v>
      </c>
    </row>
    <row r="5575" s="2" customFormat="1" spans="1:10">
      <c r="A5575" s="6">
        <f>5573</f>
        <v>5573</v>
      </c>
      <c r="B5575" s="6" t="s">
        <v>14415</v>
      </c>
      <c r="C5575" s="6" t="s">
        <v>12</v>
      </c>
      <c r="D5575" s="6" t="s">
        <v>14138</v>
      </c>
      <c r="E5575" s="6" t="s">
        <v>14393</v>
      </c>
      <c r="F5575" s="6" t="s">
        <v>14416</v>
      </c>
      <c r="G5575" s="6" t="s">
        <v>16</v>
      </c>
      <c r="H5575" s="5">
        <v>1</v>
      </c>
      <c r="I5575" s="6" t="s">
        <v>14416</v>
      </c>
      <c r="J5575" s="5">
        <v>440</v>
      </c>
    </row>
    <row r="5576" s="2" customFormat="1" spans="1:10">
      <c r="A5576" s="6">
        <f>5574</f>
        <v>5574</v>
      </c>
      <c r="B5576" s="6" t="s">
        <v>14417</v>
      </c>
      <c r="C5576" s="6" t="s">
        <v>12</v>
      </c>
      <c r="D5576" s="6" t="s">
        <v>14138</v>
      </c>
      <c r="E5576" s="6" t="s">
        <v>14393</v>
      </c>
      <c r="F5576" s="6" t="s">
        <v>14418</v>
      </c>
      <c r="G5576" s="6" t="s">
        <v>16</v>
      </c>
      <c r="H5576" s="5">
        <v>2</v>
      </c>
      <c r="I5576" s="6" t="s">
        <v>14419</v>
      </c>
      <c r="J5576" s="5">
        <v>420</v>
      </c>
    </row>
    <row r="5577" s="2" customFormat="1" spans="1:10">
      <c r="A5577" s="6">
        <f>5575</f>
        <v>5575</v>
      </c>
      <c r="B5577" s="6" t="s">
        <v>14420</v>
      </c>
      <c r="C5577" s="6" t="s">
        <v>12</v>
      </c>
      <c r="D5577" s="6" t="s">
        <v>14138</v>
      </c>
      <c r="E5577" s="6" t="s">
        <v>14393</v>
      </c>
      <c r="F5577" s="6" t="s">
        <v>14421</v>
      </c>
      <c r="G5577" s="6" t="s">
        <v>16</v>
      </c>
      <c r="H5577" s="5">
        <v>2</v>
      </c>
      <c r="I5577" s="6" t="s">
        <v>14422</v>
      </c>
      <c r="J5577" s="5">
        <v>890</v>
      </c>
    </row>
    <row r="5578" s="2" customFormat="1" spans="1:10">
      <c r="A5578" s="6">
        <f>5576</f>
        <v>5576</v>
      </c>
      <c r="B5578" s="6" t="s">
        <v>14423</v>
      </c>
      <c r="C5578" s="6" t="s">
        <v>12</v>
      </c>
      <c r="D5578" s="6" t="s">
        <v>14138</v>
      </c>
      <c r="E5578" s="6" t="s">
        <v>14393</v>
      </c>
      <c r="F5578" s="6" t="s">
        <v>14424</v>
      </c>
      <c r="G5578" s="6" t="s">
        <v>16</v>
      </c>
      <c r="H5578" s="5">
        <v>3</v>
      </c>
      <c r="I5578" s="6" t="s">
        <v>14425</v>
      </c>
      <c r="J5578" s="5">
        <v>980</v>
      </c>
    </row>
    <row r="5579" s="2" customFormat="1" spans="1:10">
      <c r="A5579" s="6">
        <f>5577</f>
        <v>5577</v>
      </c>
      <c r="B5579" s="6" t="s">
        <v>14426</v>
      </c>
      <c r="C5579" s="6" t="s">
        <v>12</v>
      </c>
      <c r="D5579" s="6" t="s">
        <v>14138</v>
      </c>
      <c r="E5579" s="6" t="s">
        <v>14393</v>
      </c>
      <c r="F5579" s="6" t="s">
        <v>14427</v>
      </c>
      <c r="G5579" s="6" t="s">
        <v>16</v>
      </c>
      <c r="H5579" s="5">
        <v>1</v>
      </c>
      <c r="I5579" s="6" t="s">
        <v>14427</v>
      </c>
      <c r="J5579" s="5">
        <v>345</v>
      </c>
    </row>
    <row r="5580" s="2" customFormat="1" spans="1:10">
      <c r="A5580" s="6">
        <f>5578</f>
        <v>5578</v>
      </c>
      <c r="B5580" s="6" t="s">
        <v>14428</v>
      </c>
      <c r="C5580" s="6" t="s">
        <v>12</v>
      </c>
      <c r="D5580" s="6" t="s">
        <v>14138</v>
      </c>
      <c r="E5580" s="6" t="s">
        <v>14393</v>
      </c>
      <c r="F5580" s="6" t="s">
        <v>14429</v>
      </c>
      <c r="G5580" s="6" t="s">
        <v>16</v>
      </c>
      <c r="H5580" s="5">
        <v>2</v>
      </c>
      <c r="I5580" s="6" t="s">
        <v>14430</v>
      </c>
      <c r="J5580" s="5">
        <v>470</v>
      </c>
    </row>
    <row r="5581" s="2" customFormat="1" spans="1:10">
      <c r="A5581" s="6">
        <f>5579</f>
        <v>5579</v>
      </c>
      <c r="B5581" s="6" t="s">
        <v>14431</v>
      </c>
      <c r="C5581" s="6" t="s">
        <v>12</v>
      </c>
      <c r="D5581" s="6" t="s">
        <v>14138</v>
      </c>
      <c r="E5581" s="6" t="s">
        <v>14393</v>
      </c>
      <c r="F5581" s="6" t="s">
        <v>14432</v>
      </c>
      <c r="G5581" s="6" t="s">
        <v>16</v>
      </c>
      <c r="H5581" s="5">
        <v>3</v>
      </c>
      <c r="I5581" s="6" t="s">
        <v>14433</v>
      </c>
      <c r="J5581" s="5">
        <v>542</v>
      </c>
    </row>
    <row r="5582" s="2" customFormat="1" spans="1:10">
      <c r="A5582" s="6">
        <f>5580</f>
        <v>5580</v>
      </c>
      <c r="B5582" s="6" t="s">
        <v>14434</v>
      </c>
      <c r="C5582" s="6" t="s">
        <v>12</v>
      </c>
      <c r="D5582" s="6" t="s">
        <v>14138</v>
      </c>
      <c r="E5582" s="6" t="s">
        <v>14393</v>
      </c>
      <c r="F5582" s="6" t="s">
        <v>14435</v>
      </c>
      <c r="G5582" s="6" t="s">
        <v>16</v>
      </c>
      <c r="H5582" s="5">
        <v>1</v>
      </c>
      <c r="I5582" s="6" t="s">
        <v>14435</v>
      </c>
      <c r="J5582" s="5">
        <v>365</v>
      </c>
    </row>
    <row r="5583" s="2" customFormat="1" ht="27" spans="1:10">
      <c r="A5583" s="6">
        <f>5581</f>
        <v>5581</v>
      </c>
      <c r="B5583" s="6" t="s">
        <v>14436</v>
      </c>
      <c r="C5583" s="6" t="s">
        <v>12</v>
      </c>
      <c r="D5583" s="6" t="s">
        <v>14138</v>
      </c>
      <c r="E5583" s="6" t="s">
        <v>14393</v>
      </c>
      <c r="F5583" s="6" t="s">
        <v>14437</v>
      </c>
      <c r="G5583" s="6" t="s">
        <v>16</v>
      </c>
      <c r="H5583" s="5">
        <v>4</v>
      </c>
      <c r="I5583" s="6" t="s">
        <v>14438</v>
      </c>
      <c r="J5583" s="5">
        <v>1348</v>
      </c>
    </row>
    <row r="5584" s="2" customFormat="1" spans="1:10">
      <c r="A5584" s="6">
        <f>5582</f>
        <v>5582</v>
      </c>
      <c r="B5584" s="6" t="s">
        <v>14439</v>
      </c>
      <c r="C5584" s="6" t="s">
        <v>12</v>
      </c>
      <c r="D5584" s="6" t="s">
        <v>14138</v>
      </c>
      <c r="E5584" s="6" t="s">
        <v>14393</v>
      </c>
      <c r="F5584" s="6" t="s">
        <v>14440</v>
      </c>
      <c r="G5584" s="6" t="s">
        <v>16</v>
      </c>
      <c r="H5584" s="5">
        <v>1</v>
      </c>
      <c r="I5584" s="6" t="s">
        <v>14440</v>
      </c>
      <c r="J5584" s="5">
        <v>291</v>
      </c>
    </row>
    <row r="5585" s="2" customFormat="1" ht="27" spans="1:10">
      <c r="A5585" s="6">
        <f>5583</f>
        <v>5583</v>
      </c>
      <c r="B5585" s="6" t="s">
        <v>14441</v>
      </c>
      <c r="C5585" s="6" t="s">
        <v>12</v>
      </c>
      <c r="D5585" s="6" t="s">
        <v>14138</v>
      </c>
      <c r="E5585" s="6" t="s">
        <v>14442</v>
      </c>
      <c r="F5585" s="6" t="s">
        <v>14443</v>
      </c>
      <c r="G5585" s="6" t="s">
        <v>16</v>
      </c>
      <c r="H5585" s="5">
        <v>5</v>
      </c>
      <c r="I5585" s="6" t="s">
        <v>14444</v>
      </c>
      <c r="J5585" s="5">
        <v>2000</v>
      </c>
    </row>
    <row r="5586" s="2" customFormat="1" ht="27" spans="1:10">
      <c r="A5586" s="6">
        <f>5584</f>
        <v>5584</v>
      </c>
      <c r="B5586" s="6" t="s">
        <v>14445</v>
      </c>
      <c r="C5586" s="6" t="s">
        <v>12</v>
      </c>
      <c r="D5586" s="6" t="s">
        <v>14138</v>
      </c>
      <c r="E5586" s="6" t="s">
        <v>14442</v>
      </c>
      <c r="F5586" s="6" t="s">
        <v>14446</v>
      </c>
      <c r="G5586" s="6" t="s">
        <v>16</v>
      </c>
      <c r="H5586" s="5">
        <v>6</v>
      </c>
      <c r="I5586" s="6" t="s">
        <v>14447</v>
      </c>
      <c r="J5586" s="5">
        <v>1160</v>
      </c>
    </row>
    <row r="5587" s="2" customFormat="1" spans="1:10">
      <c r="A5587" s="6">
        <f>5585</f>
        <v>5585</v>
      </c>
      <c r="B5587" s="6" t="s">
        <v>14448</v>
      </c>
      <c r="C5587" s="6" t="s">
        <v>12</v>
      </c>
      <c r="D5587" s="6" t="s">
        <v>14138</v>
      </c>
      <c r="E5587" s="6" t="s">
        <v>14442</v>
      </c>
      <c r="F5587" s="6" t="s">
        <v>14449</v>
      </c>
      <c r="G5587" s="6" t="s">
        <v>16</v>
      </c>
      <c r="H5587" s="5">
        <v>2</v>
      </c>
      <c r="I5587" s="6" t="s">
        <v>14450</v>
      </c>
      <c r="J5587" s="5">
        <v>820</v>
      </c>
    </row>
    <row r="5588" s="2" customFormat="1" spans="1:10">
      <c r="A5588" s="6">
        <f>5586</f>
        <v>5586</v>
      </c>
      <c r="B5588" s="6" t="s">
        <v>14451</v>
      </c>
      <c r="C5588" s="6" t="s">
        <v>12</v>
      </c>
      <c r="D5588" s="6" t="s">
        <v>14138</v>
      </c>
      <c r="E5588" s="6" t="s">
        <v>14442</v>
      </c>
      <c r="F5588" s="6" t="s">
        <v>14452</v>
      </c>
      <c r="G5588" s="6" t="s">
        <v>16</v>
      </c>
      <c r="H5588" s="5">
        <v>2</v>
      </c>
      <c r="I5588" s="6" t="s">
        <v>14453</v>
      </c>
      <c r="J5588" s="5">
        <v>520</v>
      </c>
    </row>
    <row r="5589" s="2" customFormat="1" spans="1:10">
      <c r="A5589" s="6">
        <f>5587</f>
        <v>5587</v>
      </c>
      <c r="B5589" s="6" t="s">
        <v>14454</v>
      </c>
      <c r="C5589" s="6" t="s">
        <v>12</v>
      </c>
      <c r="D5589" s="6" t="s">
        <v>14138</v>
      </c>
      <c r="E5589" s="6" t="s">
        <v>14442</v>
      </c>
      <c r="F5589" s="6" t="s">
        <v>14455</v>
      </c>
      <c r="G5589" s="6" t="s">
        <v>16</v>
      </c>
      <c r="H5589" s="5">
        <v>2</v>
      </c>
      <c r="I5589" s="6" t="s">
        <v>14456</v>
      </c>
      <c r="J5589" s="5">
        <v>630</v>
      </c>
    </row>
    <row r="5590" s="2" customFormat="1" spans="1:10">
      <c r="A5590" s="6">
        <f>5588</f>
        <v>5588</v>
      </c>
      <c r="B5590" s="6" t="s">
        <v>14457</v>
      </c>
      <c r="C5590" s="6" t="s">
        <v>12</v>
      </c>
      <c r="D5590" s="6" t="s">
        <v>14138</v>
      </c>
      <c r="E5590" s="6" t="s">
        <v>14442</v>
      </c>
      <c r="F5590" s="6" t="s">
        <v>14458</v>
      </c>
      <c r="G5590" s="6" t="s">
        <v>16</v>
      </c>
      <c r="H5590" s="5">
        <v>1</v>
      </c>
      <c r="I5590" s="6" t="s">
        <v>14458</v>
      </c>
      <c r="J5590" s="5">
        <v>340</v>
      </c>
    </row>
    <row r="5591" s="2" customFormat="1" spans="1:10">
      <c r="A5591" s="6">
        <f>5589</f>
        <v>5589</v>
      </c>
      <c r="B5591" s="6" t="s">
        <v>14459</v>
      </c>
      <c r="C5591" s="6" t="s">
        <v>12</v>
      </c>
      <c r="D5591" s="6" t="s">
        <v>14138</v>
      </c>
      <c r="E5591" s="6" t="s">
        <v>14442</v>
      </c>
      <c r="F5591" s="6" t="s">
        <v>14460</v>
      </c>
      <c r="G5591" s="6" t="s">
        <v>16</v>
      </c>
      <c r="H5591" s="5">
        <v>2</v>
      </c>
      <c r="I5591" s="6" t="s">
        <v>14461</v>
      </c>
      <c r="J5591" s="5">
        <v>720</v>
      </c>
    </row>
    <row r="5592" s="2" customFormat="1" spans="1:10">
      <c r="A5592" s="6">
        <f>5590</f>
        <v>5590</v>
      </c>
      <c r="B5592" s="6" t="s">
        <v>14462</v>
      </c>
      <c r="C5592" s="6" t="s">
        <v>12</v>
      </c>
      <c r="D5592" s="6" t="s">
        <v>14138</v>
      </c>
      <c r="E5592" s="6" t="s">
        <v>14442</v>
      </c>
      <c r="F5592" s="6" t="s">
        <v>14463</v>
      </c>
      <c r="G5592" s="6" t="s">
        <v>16</v>
      </c>
      <c r="H5592" s="5">
        <v>3</v>
      </c>
      <c r="I5592" s="6" t="s">
        <v>14464</v>
      </c>
      <c r="J5592" s="5">
        <v>1080</v>
      </c>
    </row>
    <row r="5593" s="2" customFormat="1" spans="1:10">
      <c r="A5593" s="6">
        <f>5591</f>
        <v>5591</v>
      </c>
      <c r="B5593" s="6" t="s">
        <v>14465</v>
      </c>
      <c r="C5593" s="6" t="s">
        <v>12</v>
      </c>
      <c r="D5593" s="6" t="s">
        <v>14138</v>
      </c>
      <c r="E5593" s="6" t="s">
        <v>14442</v>
      </c>
      <c r="F5593" s="6" t="s">
        <v>14466</v>
      </c>
      <c r="G5593" s="6" t="s">
        <v>16</v>
      </c>
      <c r="H5593" s="5">
        <v>1</v>
      </c>
      <c r="I5593" s="6" t="s">
        <v>14466</v>
      </c>
      <c r="J5593" s="5">
        <v>620</v>
      </c>
    </row>
    <row r="5594" s="2" customFormat="1" ht="27" spans="1:10">
      <c r="A5594" s="6">
        <f>5592</f>
        <v>5592</v>
      </c>
      <c r="B5594" s="6" t="s">
        <v>14467</v>
      </c>
      <c r="C5594" s="6" t="s">
        <v>12</v>
      </c>
      <c r="D5594" s="6" t="s">
        <v>14138</v>
      </c>
      <c r="E5594" s="6" t="s">
        <v>14442</v>
      </c>
      <c r="F5594" s="6" t="s">
        <v>14468</v>
      </c>
      <c r="G5594" s="6" t="s">
        <v>16</v>
      </c>
      <c r="H5594" s="5">
        <v>4</v>
      </c>
      <c r="I5594" s="6" t="s">
        <v>14469</v>
      </c>
      <c r="J5594" s="5">
        <v>1420</v>
      </c>
    </row>
    <row r="5595" s="2" customFormat="1" spans="1:10">
      <c r="A5595" s="6">
        <f>5593</f>
        <v>5593</v>
      </c>
      <c r="B5595" s="6" t="s">
        <v>14470</v>
      </c>
      <c r="C5595" s="6" t="s">
        <v>12</v>
      </c>
      <c r="D5595" s="6" t="s">
        <v>14138</v>
      </c>
      <c r="E5595" s="6" t="s">
        <v>14442</v>
      </c>
      <c r="F5595" s="6" t="s">
        <v>9552</v>
      </c>
      <c r="G5595" s="6" t="s">
        <v>16</v>
      </c>
      <c r="H5595" s="5">
        <v>1</v>
      </c>
      <c r="I5595" s="6" t="s">
        <v>9552</v>
      </c>
      <c r="J5595" s="5">
        <v>480</v>
      </c>
    </row>
    <row r="5596" s="2" customFormat="1" spans="1:10">
      <c r="A5596" s="6">
        <f>5594</f>
        <v>5594</v>
      </c>
      <c r="B5596" s="6" t="s">
        <v>14471</v>
      </c>
      <c r="C5596" s="6" t="s">
        <v>12</v>
      </c>
      <c r="D5596" s="6" t="s">
        <v>14138</v>
      </c>
      <c r="E5596" s="6" t="s">
        <v>14442</v>
      </c>
      <c r="F5596" s="6" t="s">
        <v>14472</v>
      </c>
      <c r="G5596" s="6" t="s">
        <v>16</v>
      </c>
      <c r="H5596" s="5">
        <v>1</v>
      </c>
      <c r="I5596" s="6" t="s">
        <v>14472</v>
      </c>
      <c r="J5596" s="5">
        <v>245</v>
      </c>
    </row>
    <row r="5597" s="2" customFormat="1" spans="1:10">
      <c r="A5597" s="6">
        <f>5595</f>
        <v>5595</v>
      </c>
      <c r="B5597" s="6" t="s">
        <v>14473</v>
      </c>
      <c r="C5597" s="6" t="s">
        <v>12</v>
      </c>
      <c r="D5597" s="6" t="s">
        <v>14138</v>
      </c>
      <c r="E5597" s="6" t="s">
        <v>14442</v>
      </c>
      <c r="F5597" s="6" t="s">
        <v>14474</v>
      </c>
      <c r="G5597" s="6" t="s">
        <v>16</v>
      </c>
      <c r="H5597" s="5">
        <v>3</v>
      </c>
      <c r="I5597" s="6" t="s">
        <v>14475</v>
      </c>
      <c r="J5597" s="5">
        <v>920</v>
      </c>
    </row>
    <row r="5598" s="2" customFormat="1" spans="1:10">
      <c r="A5598" s="6">
        <f>5596</f>
        <v>5596</v>
      </c>
      <c r="B5598" s="6" t="s">
        <v>14476</v>
      </c>
      <c r="C5598" s="6" t="s">
        <v>12</v>
      </c>
      <c r="D5598" s="6" t="s">
        <v>14138</v>
      </c>
      <c r="E5598" s="6" t="s">
        <v>14442</v>
      </c>
      <c r="F5598" s="6" t="s">
        <v>14477</v>
      </c>
      <c r="G5598" s="6" t="s">
        <v>16</v>
      </c>
      <c r="H5598" s="5">
        <v>1</v>
      </c>
      <c r="I5598" s="6" t="s">
        <v>14477</v>
      </c>
      <c r="J5598" s="5">
        <v>580</v>
      </c>
    </row>
    <row r="5599" s="2" customFormat="1" spans="1:10">
      <c r="A5599" s="6">
        <f>5597</f>
        <v>5597</v>
      </c>
      <c r="B5599" s="6" t="s">
        <v>14478</v>
      </c>
      <c r="C5599" s="6" t="s">
        <v>12</v>
      </c>
      <c r="D5599" s="6" t="s">
        <v>14138</v>
      </c>
      <c r="E5599" s="6" t="s">
        <v>14442</v>
      </c>
      <c r="F5599" s="6" t="s">
        <v>14479</v>
      </c>
      <c r="G5599" s="6" t="s">
        <v>16</v>
      </c>
      <c r="H5599" s="5">
        <v>2</v>
      </c>
      <c r="I5599" s="6" t="s">
        <v>14480</v>
      </c>
      <c r="J5599" s="5">
        <v>1100</v>
      </c>
    </row>
    <row r="5600" s="2" customFormat="1" ht="27" spans="1:10">
      <c r="A5600" s="6">
        <f>5598</f>
        <v>5598</v>
      </c>
      <c r="B5600" s="6" t="s">
        <v>14481</v>
      </c>
      <c r="C5600" s="6" t="s">
        <v>12</v>
      </c>
      <c r="D5600" s="6" t="s">
        <v>14138</v>
      </c>
      <c r="E5600" s="6" t="s">
        <v>14442</v>
      </c>
      <c r="F5600" s="6" t="s">
        <v>14482</v>
      </c>
      <c r="G5600" s="6" t="s">
        <v>16</v>
      </c>
      <c r="H5600" s="5">
        <v>4</v>
      </c>
      <c r="I5600" s="6" t="s">
        <v>14483</v>
      </c>
      <c r="J5600" s="5">
        <v>2280</v>
      </c>
    </row>
    <row r="5601" s="2" customFormat="1" spans="1:10">
      <c r="A5601" s="6">
        <f>5599</f>
        <v>5599</v>
      </c>
      <c r="B5601" s="6" t="s">
        <v>14484</v>
      </c>
      <c r="C5601" s="6" t="s">
        <v>12</v>
      </c>
      <c r="D5601" s="6" t="s">
        <v>14138</v>
      </c>
      <c r="E5601" s="6" t="s">
        <v>14442</v>
      </c>
      <c r="F5601" s="6" t="s">
        <v>14485</v>
      </c>
      <c r="G5601" s="6" t="s">
        <v>16</v>
      </c>
      <c r="H5601" s="5">
        <v>1</v>
      </c>
      <c r="I5601" s="6" t="s">
        <v>14485</v>
      </c>
      <c r="J5601" s="5">
        <v>260</v>
      </c>
    </row>
    <row r="5602" s="2" customFormat="1" spans="1:10">
      <c r="A5602" s="6">
        <f>5600</f>
        <v>5600</v>
      </c>
      <c r="B5602" s="6" t="s">
        <v>14486</v>
      </c>
      <c r="C5602" s="6" t="s">
        <v>12</v>
      </c>
      <c r="D5602" s="6" t="s">
        <v>14138</v>
      </c>
      <c r="E5602" s="6" t="s">
        <v>14442</v>
      </c>
      <c r="F5602" s="6" t="s">
        <v>14487</v>
      </c>
      <c r="G5602" s="6" t="s">
        <v>16</v>
      </c>
      <c r="H5602" s="5">
        <v>2</v>
      </c>
      <c r="I5602" s="6" t="s">
        <v>14488</v>
      </c>
      <c r="J5602" s="5">
        <v>470</v>
      </c>
    </row>
    <row r="5603" s="2" customFormat="1" spans="1:10">
      <c r="A5603" s="6">
        <f>5601</f>
        <v>5601</v>
      </c>
      <c r="B5603" s="6" t="s">
        <v>14489</v>
      </c>
      <c r="C5603" s="6" t="s">
        <v>12</v>
      </c>
      <c r="D5603" s="6" t="s">
        <v>14138</v>
      </c>
      <c r="E5603" s="6" t="s">
        <v>14442</v>
      </c>
      <c r="F5603" s="6" t="s">
        <v>14490</v>
      </c>
      <c r="G5603" s="6" t="s">
        <v>16</v>
      </c>
      <c r="H5603" s="5">
        <v>1</v>
      </c>
      <c r="I5603" s="6" t="s">
        <v>14490</v>
      </c>
      <c r="J5603" s="5">
        <v>253</v>
      </c>
    </row>
    <row r="5604" s="2" customFormat="1" ht="27" spans="1:10">
      <c r="A5604" s="6">
        <f>5602</f>
        <v>5602</v>
      </c>
      <c r="B5604" s="6" t="s">
        <v>14491</v>
      </c>
      <c r="C5604" s="6" t="s">
        <v>12</v>
      </c>
      <c r="D5604" s="6" t="s">
        <v>14138</v>
      </c>
      <c r="E5604" s="6" t="s">
        <v>14442</v>
      </c>
      <c r="F5604" s="6" t="s">
        <v>14492</v>
      </c>
      <c r="G5604" s="6" t="s">
        <v>16</v>
      </c>
      <c r="H5604" s="5">
        <v>4</v>
      </c>
      <c r="I5604" s="6" t="s">
        <v>14493</v>
      </c>
      <c r="J5604" s="5">
        <v>2160</v>
      </c>
    </row>
    <row r="5605" s="2" customFormat="1" spans="1:10">
      <c r="A5605" s="6">
        <f>5603</f>
        <v>5603</v>
      </c>
      <c r="B5605" s="6" t="s">
        <v>14494</v>
      </c>
      <c r="C5605" s="6" t="s">
        <v>12</v>
      </c>
      <c r="D5605" s="6" t="s">
        <v>14138</v>
      </c>
      <c r="E5605" s="6" t="s">
        <v>14442</v>
      </c>
      <c r="F5605" s="6" t="s">
        <v>14495</v>
      </c>
      <c r="G5605" s="6" t="s">
        <v>16</v>
      </c>
      <c r="H5605" s="5">
        <v>1</v>
      </c>
      <c r="I5605" s="6" t="s">
        <v>14495</v>
      </c>
      <c r="J5605" s="5">
        <v>400</v>
      </c>
    </row>
    <row r="5606" s="2" customFormat="1" spans="1:10">
      <c r="A5606" s="6">
        <f>5604</f>
        <v>5604</v>
      </c>
      <c r="B5606" s="6" t="s">
        <v>14496</v>
      </c>
      <c r="C5606" s="6" t="s">
        <v>12</v>
      </c>
      <c r="D5606" s="6" t="s">
        <v>14138</v>
      </c>
      <c r="E5606" s="6" t="s">
        <v>14442</v>
      </c>
      <c r="F5606" s="6" t="s">
        <v>14497</v>
      </c>
      <c r="G5606" s="6" t="s">
        <v>16</v>
      </c>
      <c r="H5606" s="5">
        <v>1</v>
      </c>
      <c r="I5606" s="6" t="s">
        <v>14497</v>
      </c>
      <c r="J5606" s="5">
        <v>362</v>
      </c>
    </row>
    <row r="5607" s="2" customFormat="1" spans="1:10">
      <c r="A5607" s="6">
        <f>5605</f>
        <v>5605</v>
      </c>
      <c r="B5607" s="6" t="s">
        <v>14498</v>
      </c>
      <c r="C5607" s="6" t="s">
        <v>12</v>
      </c>
      <c r="D5607" s="6" t="s">
        <v>14138</v>
      </c>
      <c r="E5607" s="6" t="s">
        <v>14442</v>
      </c>
      <c r="F5607" s="6" t="s">
        <v>14499</v>
      </c>
      <c r="G5607" s="6" t="s">
        <v>16</v>
      </c>
      <c r="H5607" s="5">
        <v>2</v>
      </c>
      <c r="I5607" s="6" t="s">
        <v>14500</v>
      </c>
      <c r="J5607" s="5">
        <v>720</v>
      </c>
    </row>
    <row r="5608" s="2" customFormat="1" spans="1:10">
      <c r="A5608" s="6">
        <f>5606</f>
        <v>5606</v>
      </c>
      <c r="B5608" s="6" t="s">
        <v>14501</v>
      </c>
      <c r="C5608" s="6" t="s">
        <v>12</v>
      </c>
      <c r="D5608" s="6" t="s">
        <v>14138</v>
      </c>
      <c r="E5608" s="6" t="s">
        <v>14442</v>
      </c>
      <c r="F5608" s="6" t="s">
        <v>14502</v>
      </c>
      <c r="G5608" s="6" t="s">
        <v>16</v>
      </c>
      <c r="H5608" s="5">
        <v>2</v>
      </c>
      <c r="I5608" s="6" t="s">
        <v>14503</v>
      </c>
      <c r="J5608" s="5">
        <v>820</v>
      </c>
    </row>
    <row r="5609" s="2" customFormat="1" spans="1:10">
      <c r="A5609" s="6">
        <f>5607</f>
        <v>5607</v>
      </c>
      <c r="B5609" s="6" t="s">
        <v>14504</v>
      </c>
      <c r="C5609" s="6" t="s">
        <v>12</v>
      </c>
      <c r="D5609" s="6" t="s">
        <v>14138</v>
      </c>
      <c r="E5609" s="6" t="s">
        <v>14442</v>
      </c>
      <c r="F5609" s="6" t="s">
        <v>14505</v>
      </c>
      <c r="G5609" s="6" t="s">
        <v>16</v>
      </c>
      <c r="H5609" s="5">
        <v>2</v>
      </c>
      <c r="I5609" s="6" t="s">
        <v>14506</v>
      </c>
      <c r="J5609" s="5">
        <v>783</v>
      </c>
    </row>
    <row r="5610" s="2" customFormat="1" spans="1:10">
      <c r="A5610" s="6">
        <f>5608</f>
        <v>5608</v>
      </c>
      <c r="B5610" s="6" t="s">
        <v>14507</v>
      </c>
      <c r="C5610" s="6" t="s">
        <v>12</v>
      </c>
      <c r="D5610" s="6" t="s">
        <v>14138</v>
      </c>
      <c r="E5610" s="6" t="s">
        <v>14442</v>
      </c>
      <c r="F5610" s="6" t="s">
        <v>14508</v>
      </c>
      <c r="G5610" s="6" t="s">
        <v>16</v>
      </c>
      <c r="H5610" s="5">
        <v>1</v>
      </c>
      <c r="I5610" s="6" t="s">
        <v>14508</v>
      </c>
      <c r="J5610" s="5">
        <v>360</v>
      </c>
    </row>
    <row r="5611" s="2" customFormat="1" spans="1:10">
      <c r="A5611" s="6">
        <f>5609</f>
        <v>5609</v>
      </c>
      <c r="B5611" s="6" t="s">
        <v>14509</v>
      </c>
      <c r="C5611" s="6" t="s">
        <v>12</v>
      </c>
      <c r="D5611" s="6" t="s">
        <v>14138</v>
      </c>
      <c r="E5611" s="6" t="s">
        <v>14442</v>
      </c>
      <c r="F5611" s="6" t="s">
        <v>14510</v>
      </c>
      <c r="G5611" s="6" t="s">
        <v>16</v>
      </c>
      <c r="H5611" s="5">
        <v>3</v>
      </c>
      <c r="I5611" s="6" t="s">
        <v>14511</v>
      </c>
      <c r="J5611" s="5">
        <v>1180</v>
      </c>
    </row>
    <row r="5612" s="2" customFormat="1" spans="1:10">
      <c r="A5612" s="6">
        <f>5610</f>
        <v>5610</v>
      </c>
      <c r="B5612" s="6" t="s">
        <v>14512</v>
      </c>
      <c r="C5612" s="6" t="s">
        <v>12</v>
      </c>
      <c r="D5612" s="6" t="s">
        <v>14138</v>
      </c>
      <c r="E5612" s="6" t="s">
        <v>14442</v>
      </c>
      <c r="F5612" s="6" t="s">
        <v>14513</v>
      </c>
      <c r="G5612" s="6" t="s">
        <v>16</v>
      </c>
      <c r="H5612" s="5">
        <v>1</v>
      </c>
      <c r="I5612" s="6" t="s">
        <v>14513</v>
      </c>
      <c r="J5612" s="5">
        <v>370</v>
      </c>
    </row>
    <row r="5613" s="2" customFormat="1" spans="1:10">
      <c r="A5613" s="6">
        <f>5611</f>
        <v>5611</v>
      </c>
      <c r="B5613" s="6" t="s">
        <v>14514</v>
      </c>
      <c r="C5613" s="6" t="s">
        <v>12</v>
      </c>
      <c r="D5613" s="6" t="s">
        <v>14138</v>
      </c>
      <c r="E5613" s="6" t="s">
        <v>14442</v>
      </c>
      <c r="F5613" s="6" t="s">
        <v>14515</v>
      </c>
      <c r="G5613" s="6" t="s">
        <v>16</v>
      </c>
      <c r="H5613" s="5">
        <v>1</v>
      </c>
      <c r="I5613" s="6" t="s">
        <v>14515</v>
      </c>
      <c r="J5613" s="5">
        <v>340</v>
      </c>
    </row>
    <row r="5614" s="2" customFormat="1" ht="27" spans="1:10">
      <c r="A5614" s="6">
        <f>5612</f>
        <v>5612</v>
      </c>
      <c r="B5614" s="6" t="s">
        <v>14516</v>
      </c>
      <c r="C5614" s="6" t="s">
        <v>12</v>
      </c>
      <c r="D5614" s="6" t="s">
        <v>14138</v>
      </c>
      <c r="E5614" s="6" t="s">
        <v>14442</v>
      </c>
      <c r="F5614" s="6" t="s">
        <v>14517</v>
      </c>
      <c r="G5614" s="6" t="s">
        <v>16</v>
      </c>
      <c r="H5614" s="5">
        <v>4</v>
      </c>
      <c r="I5614" s="6" t="s">
        <v>14518</v>
      </c>
      <c r="J5614" s="5">
        <v>860</v>
      </c>
    </row>
    <row r="5615" s="2" customFormat="1" ht="27" spans="1:10">
      <c r="A5615" s="6">
        <f>5613</f>
        <v>5613</v>
      </c>
      <c r="B5615" s="6" t="s">
        <v>14519</v>
      </c>
      <c r="C5615" s="6" t="s">
        <v>12</v>
      </c>
      <c r="D5615" s="6" t="s">
        <v>14138</v>
      </c>
      <c r="E5615" s="6" t="s">
        <v>14442</v>
      </c>
      <c r="F5615" s="6" t="s">
        <v>14520</v>
      </c>
      <c r="G5615" s="6" t="s">
        <v>16</v>
      </c>
      <c r="H5615" s="5">
        <v>5</v>
      </c>
      <c r="I5615" s="6" t="s">
        <v>14521</v>
      </c>
      <c r="J5615" s="5">
        <v>1020</v>
      </c>
    </row>
    <row r="5616" s="2" customFormat="1" spans="1:10">
      <c r="A5616" s="6">
        <f>5614</f>
        <v>5614</v>
      </c>
      <c r="B5616" s="6" t="s">
        <v>14522</v>
      </c>
      <c r="C5616" s="6" t="s">
        <v>12</v>
      </c>
      <c r="D5616" s="6" t="s">
        <v>14138</v>
      </c>
      <c r="E5616" s="6" t="s">
        <v>14442</v>
      </c>
      <c r="F5616" s="6" t="s">
        <v>14523</v>
      </c>
      <c r="G5616" s="6" t="s">
        <v>16</v>
      </c>
      <c r="H5616" s="5">
        <v>3</v>
      </c>
      <c r="I5616" s="6" t="s">
        <v>14524</v>
      </c>
      <c r="J5616" s="5">
        <v>780</v>
      </c>
    </row>
    <row r="5617" s="2" customFormat="1" spans="1:10">
      <c r="A5617" s="6">
        <f>5615</f>
        <v>5615</v>
      </c>
      <c r="B5617" s="6" t="s">
        <v>14525</v>
      </c>
      <c r="C5617" s="6" t="s">
        <v>12</v>
      </c>
      <c r="D5617" s="6" t="s">
        <v>14138</v>
      </c>
      <c r="E5617" s="6" t="s">
        <v>14442</v>
      </c>
      <c r="F5617" s="6" t="s">
        <v>14526</v>
      </c>
      <c r="G5617" s="6" t="s">
        <v>16</v>
      </c>
      <c r="H5617" s="5">
        <v>3</v>
      </c>
      <c r="I5617" s="6" t="s">
        <v>14527</v>
      </c>
      <c r="J5617" s="5">
        <v>980</v>
      </c>
    </row>
    <row r="5618" s="2" customFormat="1" ht="27" spans="1:10">
      <c r="A5618" s="6">
        <f>5616</f>
        <v>5616</v>
      </c>
      <c r="B5618" s="6" t="s">
        <v>14528</v>
      </c>
      <c r="C5618" s="6" t="s">
        <v>12</v>
      </c>
      <c r="D5618" s="6" t="s">
        <v>14138</v>
      </c>
      <c r="E5618" s="6" t="s">
        <v>14442</v>
      </c>
      <c r="F5618" s="6" t="s">
        <v>14529</v>
      </c>
      <c r="G5618" s="6" t="s">
        <v>16</v>
      </c>
      <c r="H5618" s="5">
        <v>4</v>
      </c>
      <c r="I5618" s="6" t="s">
        <v>14530</v>
      </c>
      <c r="J5618" s="5">
        <v>690</v>
      </c>
    </row>
    <row r="5619" s="2" customFormat="1" spans="1:10">
      <c r="A5619" s="6">
        <f>5617</f>
        <v>5617</v>
      </c>
      <c r="B5619" s="6" t="s">
        <v>14531</v>
      </c>
      <c r="C5619" s="6" t="s">
        <v>12</v>
      </c>
      <c r="D5619" s="6" t="s">
        <v>14138</v>
      </c>
      <c r="E5619" s="6" t="s">
        <v>14442</v>
      </c>
      <c r="F5619" s="6" t="s">
        <v>6808</v>
      </c>
      <c r="G5619" s="6" t="s">
        <v>16</v>
      </c>
      <c r="H5619" s="5">
        <v>1</v>
      </c>
      <c r="I5619" s="6" t="s">
        <v>6808</v>
      </c>
      <c r="J5619" s="5">
        <v>245</v>
      </c>
    </row>
    <row r="5620" s="2" customFormat="1" spans="1:10">
      <c r="A5620" s="6">
        <f>5618</f>
        <v>5618</v>
      </c>
      <c r="B5620" s="6" t="s">
        <v>14532</v>
      </c>
      <c r="C5620" s="6" t="s">
        <v>12</v>
      </c>
      <c r="D5620" s="6" t="s">
        <v>14138</v>
      </c>
      <c r="E5620" s="6" t="s">
        <v>14442</v>
      </c>
      <c r="F5620" s="6" t="s">
        <v>14533</v>
      </c>
      <c r="G5620" s="6" t="s">
        <v>16</v>
      </c>
      <c r="H5620" s="5">
        <v>2</v>
      </c>
      <c r="I5620" s="6" t="s">
        <v>14534</v>
      </c>
      <c r="J5620" s="5">
        <v>540</v>
      </c>
    </row>
    <row r="5621" s="2" customFormat="1" spans="1:10">
      <c r="A5621" s="6">
        <f>5619</f>
        <v>5619</v>
      </c>
      <c r="B5621" s="6" t="s">
        <v>14535</v>
      </c>
      <c r="C5621" s="6" t="s">
        <v>12</v>
      </c>
      <c r="D5621" s="6" t="s">
        <v>14138</v>
      </c>
      <c r="E5621" s="6" t="s">
        <v>14442</v>
      </c>
      <c r="F5621" s="6" t="s">
        <v>14536</v>
      </c>
      <c r="G5621" s="6" t="s">
        <v>16</v>
      </c>
      <c r="H5621" s="5">
        <v>2</v>
      </c>
      <c r="I5621" s="6" t="s">
        <v>14537</v>
      </c>
      <c r="J5621" s="5">
        <v>393</v>
      </c>
    </row>
    <row r="5622" s="2" customFormat="1" ht="27" spans="1:10">
      <c r="A5622" s="6">
        <f>5620</f>
        <v>5620</v>
      </c>
      <c r="B5622" s="6" t="s">
        <v>14538</v>
      </c>
      <c r="C5622" s="6" t="s">
        <v>12</v>
      </c>
      <c r="D5622" s="6" t="s">
        <v>14138</v>
      </c>
      <c r="E5622" s="6" t="s">
        <v>14442</v>
      </c>
      <c r="F5622" s="6" t="s">
        <v>14539</v>
      </c>
      <c r="G5622" s="6" t="s">
        <v>16</v>
      </c>
      <c r="H5622" s="5">
        <v>4</v>
      </c>
      <c r="I5622" s="6" t="s">
        <v>14540</v>
      </c>
      <c r="J5622" s="5">
        <v>790</v>
      </c>
    </row>
    <row r="5623" s="2" customFormat="1" spans="1:10">
      <c r="A5623" s="6">
        <f>5621</f>
        <v>5621</v>
      </c>
      <c r="B5623" s="6" t="s">
        <v>14541</v>
      </c>
      <c r="C5623" s="6" t="s">
        <v>12</v>
      </c>
      <c r="D5623" s="6" t="s">
        <v>14138</v>
      </c>
      <c r="E5623" s="6" t="s">
        <v>14442</v>
      </c>
      <c r="F5623" s="6" t="s">
        <v>14542</v>
      </c>
      <c r="G5623" s="6" t="s">
        <v>16</v>
      </c>
      <c r="H5623" s="5">
        <v>2</v>
      </c>
      <c r="I5623" s="6" t="s">
        <v>14543</v>
      </c>
      <c r="J5623" s="5">
        <v>740</v>
      </c>
    </row>
    <row r="5624" s="2" customFormat="1" spans="1:10">
      <c r="A5624" s="6">
        <f>5622</f>
        <v>5622</v>
      </c>
      <c r="B5624" s="6" t="s">
        <v>14544</v>
      </c>
      <c r="C5624" s="6" t="s">
        <v>12</v>
      </c>
      <c r="D5624" s="6" t="s">
        <v>14138</v>
      </c>
      <c r="E5624" s="6" t="s">
        <v>14442</v>
      </c>
      <c r="F5624" s="6" t="s">
        <v>14545</v>
      </c>
      <c r="G5624" s="6" t="s">
        <v>16</v>
      </c>
      <c r="H5624" s="5">
        <v>1</v>
      </c>
      <c r="I5624" s="6" t="s">
        <v>14545</v>
      </c>
      <c r="J5624" s="5">
        <v>460</v>
      </c>
    </row>
    <row r="5625" s="2" customFormat="1" spans="1:10">
      <c r="A5625" s="6">
        <f>5623</f>
        <v>5623</v>
      </c>
      <c r="B5625" s="6" t="s">
        <v>14546</v>
      </c>
      <c r="C5625" s="6" t="s">
        <v>12</v>
      </c>
      <c r="D5625" s="6" t="s">
        <v>14138</v>
      </c>
      <c r="E5625" s="6" t="s">
        <v>14442</v>
      </c>
      <c r="F5625" s="6" t="s">
        <v>14547</v>
      </c>
      <c r="G5625" s="6" t="s">
        <v>16</v>
      </c>
      <c r="H5625" s="5">
        <v>2</v>
      </c>
      <c r="I5625" s="6" t="s">
        <v>14548</v>
      </c>
      <c r="J5625" s="5">
        <v>620</v>
      </c>
    </row>
    <row r="5626" s="2" customFormat="1" spans="1:10">
      <c r="A5626" s="6">
        <f>5624</f>
        <v>5624</v>
      </c>
      <c r="B5626" s="6" t="s">
        <v>14549</v>
      </c>
      <c r="C5626" s="6" t="s">
        <v>12</v>
      </c>
      <c r="D5626" s="6" t="s">
        <v>14138</v>
      </c>
      <c r="E5626" s="6" t="s">
        <v>14442</v>
      </c>
      <c r="F5626" s="6" t="s">
        <v>14550</v>
      </c>
      <c r="G5626" s="6" t="s">
        <v>16</v>
      </c>
      <c r="H5626" s="5">
        <v>3</v>
      </c>
      <c r="I5626" s="6" t="s">
        <v>14551</v>
      </c>
      <c r="J5626" s="5">
        <v>1220</v>
      </c>
    </row>
    <row r="5627" s="2" customFormat="1" spans="1:10">
      <c r="A5627" s="6">
        <f>5625</f>
        <v>5625</v>
      </c>
      <c r="B5627" s="6" t="s">
        <v>14552</v>
      </c>
      <c r="C5627" s="6" t="s">
        <v>12</v>
      </c>
      <c r="D5627" s="6" t="s">
        <v>14138</v>
      </c>
      <c r="E5627" s="6" t="s">
        <v>14442</v>
      </c>
      <c r="F5627" s="6" t="s">
        <v>14553</v>
      </c>
      <c r="G5627" s="6" t="s">
        <v>16</v>
      </c>
      <c r="H5627" s="5">
        <v>3</v>
      </c>
      <c r="I5627" s="6" t="s">
        <v>14554</v>
      </c>
      <c r="J5627" s="5">
        <v>788</v>
      </c>
    </row>
    <row r="5628" s="2" customFormat="1" ht="27" spans="1:10">
      <c r="A5628" s="6">
        <f>5626</f>
        <v>5626</v>
      </c>
      <c r="B5628" s="6" t="s">
        <v>14555</v>
      </c>
      <c r="C5628" s="6" t="s">
        <v>12</v>
      </c>
      <c r="D5628" s="6" t="s">
        <v>14138</v>
      </c>
      <c r="E5628" s="6" t="s">
        <v>14442</v>
      </c>
      <c r="F5628" s="6" t="s">
        <v>14556</v>
      </c>
      <c r="G5628" s="6" t="s">
        <v>16</v>
      </c>
      <c r="H5628" s="5">
        <v>4</v>
      </c>
      <c r="I5628" s="6" t="s">
        <v>14557</v>
      </c>
      <c r="J5628" s="5">
        <v>856</v>
      </c>
    </row>
    <row r="5629" s="2" customFormat="1" spans="1:10">
      <c r="A5629" s="6">
        <f>5627</f>
        <v>5627</v>
      </c>
      <c r="B5629" s="6" t="s">
        <v>14558</v>
      </c>
      <c r="C5629" s="6" t="s">
        <v>12</v>
      </c>
      <c r="D5629" s="6" t="s">
        <v>14138</v>
      </c>
      <c r="E5629" s="6" t="s">
        <v>14442</v>
      </c>
      <c r="F5629" s="6" t="s">
        <v>14559</v>
      </c>
      <c r="G5629" s="6" t="s">
        <v>16</v>
      </c>
      <c r="H5629" s="5">
        <v>1</v>
      </c>
      <c r="I5629" s="6" t="s">
        <v>14559</v>
      </c>
      <c r="J5629" s="5">
        <v>360</v>
      </c>
    </row>
    <row r="5630" s="2" customFormat="1" spans="1:10">
      <c r="A5630" s="6">
        <f>5628</f>
        <v>5628</v>
      </c>
      <c r="B5630" s="6" t="s">
        <v>14560</v>
      </c>
      <c r="C5630" s="6" t="s">
        <v>12</v>
      </c>
      <c r="D5630" s="6" t="s">
        <v>14138</v>
      </c>
      <c r="E5630" s="6" t="s">
        <v>14442</v>
      </c>
      <c r="F5630" s="6" t="s">
        <v>14561</v>
      </c>
      <c r="G5630" s="6" t="s">
        <v>16</v>
      </c>
      <c r="H5630" s="5">
        <v>3</v>
      </c>
      <c r="I5630" s="6" t="s">
        <v>14562</v>
      </c>
      <c r="J5630" s="5">
        <v>680</v>
      </c>
    </row>
    <row r="5631" s="2" customFormat="1" ht="27" spans="1:10">
      <c r="A5631" s="6">
        <f>5629</f>
        <v>5629</v>
      </c>
      <c r="B5631" s="6" t="s">
        <v>14563</v>
      </c>
      <c r="C5631" s="6" t="s">
        <v>12</v>
      </c>
      <c r="D5631" s="6" t="s">
        <v>14138</v>
      </c>
      <c r="E5631" s="6" t="s">
        <v>14442</v>
      </c>
      <c r="F5631" s="6" t="s">
        <v>14564</v>
      </c>
      <c r="G5631" s="6" t="s">
        <v>16</v>
      </c>
      <c r="H5631" s="5">
        <v>5</v>
      </c>
      <c r="I5631" s="6" t="s">
        <v>14565</v>
      </c>
      <c r="J5631" s="5">
        <v>1880</v>
      </c>
    </row>
    <row r="5632" s="2" customFormat="1" spans="1:10">
      <c r="A5632" s="6">
        <f>5630</f>
        <v>5630</v>
      </c>
      <c r="B5632" s="6" t="s">
        <v>14566</v>
      </c>
      <c r="C5632" s="6" t="s">
        <v>12</v>
      </c>
      <c r="D5632" s="6" t="s">
        <v>14138</v>
      </c>
      <c r="E5632" s="6" t="s">
        <v>14442</v>
      </c>
      <c r="F5632" s="6" t="s">
        <v>14567</v>
      </c>
      <c r="G5632" s="6" t="s">
        <v>16</v>
      </c>
      <c r="H5632" s="5">
        <v>3</v>
      </c>
      <c r="I5632" s="6" t="s">
        <v>14568</v>
      </c>
      <c r="J5632" s="5">
        <v>580</v>
      </c>
    </row>
    <row r="5633" s="2" customFormat="1" spans="1:10">
      <c r="A5633" s="6">
        <f>5631</f>
        <v>5631</v>
      </c>
      <c r="B5633" s="6" t="s">
        <v>14569</v>
      </c>
      <c r="C5633" s="6" t="s">
        <v>12</v>
      </c>
      <c r="D5633" s="6" t="s">
        <v>14138</v>
      </c>
      <c r="E5633" s="6" t="s">
        <v>14442</v>
      </c>
      <c r="F5633" s="6" t="s">
        <v>14570</v>
      </c>
      <c r="G5633" s="6" t="s">
        <v>16</v>
      </c>
      <c r="H5633" s="5">
        <v>3</v>
      </c>
      <c r="I5633" s="6" t="s">
        <v>14571</v>
      </c>
      <c r="J5633" s="5">
        <v>773</v>
      </c>
    </row>
    <row r="5634" s="2" customFormat="1" spans="1:10">
      <c r="A5634" s="6">
        <f>5632</f>
        <v>5632</v>
      </c>
      <c r="B5634" s="6" t="s">
        <v>14572</v>
      </c>
      <c r="C5634" s="6" t="s">
        <v>12</v>
      </c>
      <c r="D5634" s="6" t="s">
        <v>14573</v>
      </c>
      <c r="E5634" s="6" t="s">
        <v>14574</v>
      </c>
      <c r="F5634" s="6" t="s">
        <v>14575</v>
      </c>
      <c r="G5634" s="6" t="s">
        <v>16</v>
      </c>
      <c r="H5634" s="5">
        <v>2</v>
      </c>
      <c r="I5634" s="6" t="s">
        <v>14576</v>
      </c>
      <c r="J5634" s="5">
        <v>1240</v>
      </c>
    </row>
    <row r="5635" s="2" customFormat="1" spans="1:10">
      <c r="A5635" s="6">
        <f>5633</f>
        <v>5633</v>
      </c>
      <c r="B5635" s="6" t="s">
        <v>14577</v>
      </c>
      <c r="C5635" s="6" t="s">
        <v>12</v>
      </c>
      <c r="D5635" s="6" t="s">
        <v>14573</v>
      </c>
      <c r="E5635" s="6" t="s">
        <v>14574</v>
      </c>
      <c r="F5635" s="6" t="s">
        <v>14578</v>
      </c>
      <c r="G5635" s="6" t="s">
        <v>16</v>
      </c>
      <c r="H5635" s="5">
        <v>1</v>
      </c>
      <c r="I5635" s="6" t="s">
        <v>14578</v>
      </c>
      <c r="J5635" s="5">
        <v>270</v>
      </c>
    </row>
    <row r="5636" s="2" customFormat="1" spans="1:10">
      <c r="A5636" s="6">
        <f>5634</f>
        <v>5634</v>
      </c>
      <c r="B5636" s="6" t="s">
        <v>14579</v>
      </c>
      <c r="C5636" s="6" t="s">
        <v>12</v>
      </c>
      <c r="D5636" s="6" t="s">
        <v>14573</v>
      </c>
      <c r="E5636" s="6" t="s">
        <v>14574</v>
      </c>
      <c r="F5636" s="6" t="s">
        <v>14580</v>
      </c>
      <c r="G5636" s="6" t="s">
        <v>16</v>
      </c>
      <c r="H5636" s="5">
        <v>1</v>
      </c>
      <c r="I5636" s="6" t="s">
        <v>14580</v>
      </c>
      <c r="J5636" s="5">
        <v>410</v>
      </c>
    </row>
    <row r="5637" s="2" customFormat="1" spans="1:10">
      <c r="A5637" s="6">
        <f>5635</f>
        <v>5635</v>
      </c>
      <c r="B5637" s="6" t="s">
        <v>14581</v>
      </c>
      <c r="C5637" s="6" t="s">
        <v>12</v>
      </c>
      <c r="D5637" s="6" t="s">
        <v>14573</v>
      </c>
      <c r="E5637" s="6" t="s">
        <v>14574</v>
      </c>
      <c r="F5637" s="6" t="s">
        <v>14582</v>
      </c>
      <c r="G5637" s="6" t="s">
        <v>16</v>
      </c>
      <c r="H5637" s="5">
        <v>1</v>
      </c>
      <c r="I5637" s="6" t="s">
        <v>14582</v>
      </c>
      <c r="J5637" s="5">
        <v>500</v>
      </c>
    </row>
    <row r="5638" s="2" customFormat="1" spans="1:10">
      <c r="A5638" s="6">
        <f>5636</f>
        <v>5636</v>
      </c>
      <c r="B5638" s="6" t="s">
        <v>14583</v>
      </c>
      <c r="C5638" s="6" t="s">
        <v>12</v>
      </c>
      <c r="D5638" s="6" t="s">
        <v>14573</v>
      </c>
      <c r="E5638" s="6" t="s">
        <v>14574</v>
      </c>
      <c r="F5638" s="6" t="s">
        <v>14584</v>
      </c>
      <c r="G5638" s="6" t="s">
        <v>16</v>
      </c>
      <c r="H5638" s="5">
        <v>2</v>
      </c>
      <c r="I5638" s="6" t="s">
        <v>14585</v>
      </c>
      <c r="J5638" s="5">
        <v>1146</v>
      </c>
    </row>
    <row r="5639" s="2" customFormat="1" spans="1:10">
      <c r="A5639" s="6">
        <f>5637</f>
        <v>5637</v>
      </c>
      <c r="B5639" s="6" t="s">
        <v>14586</v>
      </c>
      <c r="C5639" s="6" t="s">
        <v>12</v>
      </c>
      <c r="D5639" s="6" t="s">
        <v>14573</v>
      </c>
      <c r="E5639" s="6" t="s">
        <v>14574</v>
      </c>
      <c r="F5639" s="6" t="s">
        <v>14587</v>
      </c>
      <c r="G5639" s="6" t="s">
        <v>16</v>
      </c>
      <c r="H5639" s="5">
        <v>1</v>
      </c>
      <c r="I5639" s="6" t="s">
        <v>14587</v>
      </c>
      <c r="J5639" s="5">
        <v>420</v>
      </c>
    </row>
    <row r="5640" s="2" customFormat="1" spans="1:10">
      <c r="A5640" s="6">
        <f>5638</f>
        <v>5638</v>
      </c>
      <c r="B5640" s="6" t="s">
        <v>14588</v>
      </c>
      <c r="C5640" s="6" t="s">
        <v>12</v>
      </c>
      <c r="D5640" s="6" t="s">
        <v>14573</v>
      </c>
      <c r="E5640" s="6" t="s">
        <v>14574</v>
      </c>
      <c r="F5640" s="6" t="s">
        <v>14589</v>
      </c>
      <c r="G5640" s="6" t="s">
        <v>16</v>
      </c>
      <c r="H5640" s="5">
        <v>3</v>
      </c>
      <c r="I5640" s="6" t="s">
        <v>14590</v>
      </c>
      <c r="J5640" s="5">
        <v>1000</v>
      </c>
    </row>
    <row r="5641" s="2" customFormat="1" spans="1:10">
      <c r="A5641" s="6">
        <f>5639</f>
        <v>5639</v>
      </c>
      <c r="B5641" s="6" t="s">
        <v>14591</v>
      </c>
      <c r="C5641" s="6" t="s">
        <v>12</v>
      </c>
      <c r="D5641" s="6" t="s">
        <v>14573</v>
      </c>
      <c r="E5641" s="6" t="s">
        <v>14574</v>
      </c>
      <c r="F5641" s="6" t="s">
        <v>14592</v>
      </c>
      <c r="G5641" s="6" t="s">
        <v>16</v>
      </c>
      <c r="H5641" s="5">
        <v>1</v>
      </c>
      <c r="I5641" s="6" t="s">
        <v>14592</v>
      </c>
      <c r="J5641" s="5">
        <v>420</v>
      </c>
    </row>
    <row r="5642" s="2" customFormat="1" spans="1:10">
      <c r="A5642" s="6">
        <f>5640</f>
        <v>5640</v>
      </c>
      <c r="B5642" s="6" t="s">
        <v>14593</v>
      </c>
      <c r="C5642" s="6" t="s">
        <v>12</v>
      </c>
      <c r="D5642" s="6" t="s">
        <v>14573</v>
      </c>
      <c r="E5642" s="6" t="s">
        <v>14574</v>
      </c>
      <c r="F5642" s="6" t="s">
        <v>14594</v>
      </c>
      <c r="G5642" s="6" t="s">
        <v>16</v>
      </c>
      <c r="H5642" s="5">
        <v>1</v>
      </c>
      <c r="I5642" s="6" t="s">
        <v>14594</v>
      </c>
      <c r="J5642" s="5">
        <v>540</v>
      </c>
    </row>
    <row r="5643" s="2" customFormat="1" ht="27" spans="1:10">
      <c r="A5643" s="6">
        <f>5641</f>
        <v>5641</v>
      </c>
      <c r="B5643" s="6" t="s">
        <v>14595</v>
      </c>
      <c r="C5643" s="6" t="s">
        <v>12</v>
      </c>
      <c r="D5643" s="6" t="s">
        <v>14573</v>
      </c>
      <c r="E5643" s="6" t="s">
        <v>14574</v>
      </c>
      <c r="F5643" s="6" t="s">
        <v>7135</v>
      </c>
      <c r="G5643" s="6" t="s">
        <v>16</v>
      </c>
      <c r="H5643" s="5">
        <v>5</v>
      </c>
      <c r="I5643" s="6" t="s">
        <v>14596</v>
      </c>
      <c r="J5643" s="5">
        <v>1015</v>
      </c>
    </row>
    <row r="5644" s="2" customFormat="1" spans="1:10">
      <c r="A5644" s="6">
        <f>5642</f>
        <v>5642</v>
      </c>
      <c r="B5644" s="6" t="s">
        <v>14597</v>
      </c>
      <c r="C5644" s="6" t="s">
        <v>12</v>
      </c>
      <c r="D5644" s="6" t="s">
        <v>14573</v>
      </c>
      <c r="E5644" s="6" t="s">
        <v>14574</v>
      </c>
      <c r="F5644" s="6" t="s">
        <v>14598</v>
      </c>
      <c r="G5644" s="6" t="s">
        <v>16</v>
      </c>
      <c r="H5644" s="5">
        <v>3</v>
      </c>
      <c r="I5644" s="6" t="s">
        <v>14599</v>
      </c>
      <c r="J5644" s="5">
        <v>990</v>
      </c>
    </row>
    <row r="5645" s="2" customFormat="1" ht="27" spans="1:10">
      <c r="A5645" s="6">
        <f>5643</f>
        <v>5643</v>
      </c>
      <c r="B5645" s="6" t="s">
        <v>14600</v>
      </c>
      <c r="C5645" s="6" t="s">
        <v>12</v>
      </c>
      <c r="D5645" s="6" t="s">
        <v>14573</v>
      </c>
      <c r="E5645" s="6" t="s">
        <v>14574</v>
      </c>
      <c r="F5645" s="6" t="s">
        <v>14601</v>
      </c>
      <c r="G5645" s="6" t="s">
        <v>16</v>
      </c>
      <c r="H5645" s="5">
        <v>5</v>
      </c>
      <c r="I5645" s="6" t="s">
        <v>14602</v>
      </c>
      <c r="J5645" s="5">
        <v>518</v>
      </c>
    </row>
    <row r="5646" s="2" customFormat="1" spans="1:10">
      <c r="A5646" s="6">
        <f>5644</f>
        <v>5644</v>
      </c>
      <c r="B5646" s="6" t="s">
        <v>14603</v>
      </c>
      <c r="C5646" s="6" t="s">
        <v>12</v>
      </c>
      <c r="D5646" s="6" t="s">
        <v>14573</v>
      </c>
      <c r="E5646" s="6" t="s">
        <v>14574</v>
      </c>
      <c r="F5646" s="6" t="s">
        <v>14604</v>
      </c>
      <c r="G5646" s="6" t="s">
        <v>16</v>
      </c>
      <c r="H5646" s="5">
        <v>1</v>
      </c>
      <c r="I5646" s="6" t="s">
        <v>14604</v>
      </c>
      <c r="J5646" s="5">
        <v>340</v>
      </c>
    </row>
    <row r="5647" s="2" customFormat="1" spans="1:10">
      <c r="A5647" s="6">
        <f>5645</f>
        <v>5645</v>
      </c>
      <c r="B5647" s="6" t="s">
        <v>14605</v>
      </c>
      <c r="C5647" s="6" t="s">
        <v>12</v>
      </c>
      <c r="D5647" s="6" t="s">
        <v>14573</v>
      </c>
      <c r="E5647" s="6" t="s">
        <v>14574</v>
      </c>
      <c r="F5647" s="6" t="s">
        <v>14606</v>
      </c>
      <c r="G5647" s="6" t="s">
        <v>16</v>
      </c>
      <c r="H5647" s="5">
        <v>1</v>
      </c>
      <c r="I5647" s="6" t="s">
        <v>14606</v>
      </c>
      <c r="J5647" s="5">
        <v>365</v>
      </c>
    </row>
    <row r="5648" s="2" customFormat="1" spans="1:10">
      <c r="A5648" s="6">
        <f>5646</f>
        <v>5646</v>
      </c>
      <c r="B5648" s="6" t="s">
        <v>14607</v>
      </c>
      <c r="C5648" s="6" t="s">
        <v>12</v>
      </c>
      <c r="D5648" s="6" t="s">
        <v>14573</v>
      </c>
      <c r="E5648" s="6" t="s">
        <v>14574</v>
      </c>
      <c r="F5648" s="6" t="s">
        <v>14608</v>
      </c>
      <c r="G5648" s="6" t="s">
        <v>16</v>
      </c>
      <c r="H5648" s="5">
        <v>1</v>
      </c>
      <c r="I5648" s="6" t="s">
        <v>14608</v>
      </c>
      <c r="J5648" s="5">
        <v>270</v>
      </c>
    </row>
    <row r="5649" s="2" customFormat="1" spans="1:10">
      <c r="A5649" s="6">
        <f>5647</f>
        <v>5647</v>
      </c>
      <c r="B5649" s="6" t="s">
        <v>14609</v>
      </c>
      <c r="C5649" s="6" t="s">
        <v>12</v>
      </c>
      <c r="D5649" s="6" t="s">
        <v>14573</v>
      </c>
      <c r="E5649" s="6" t="s">
        <v>14574</v>
      </c>
      <c r="F5649" s="6" t="s">
        <v>14610</v>
      </c>
      <c r="G5649" s="6" t="s">
        <v>16</v>
      </c>
      <c r="H5649" s="5">
        <v>1</v>
      </c>
      <c r="I5649" s="6" t="s">
        <v>14610</v>
      </c>
      <c r="J5649" s="5">
        <v>265</v>
      </c>
    </row>
    <row r="5650" s="2" customFormat="1" spans="1:10">
      <c r="A5650" s="6">
        <f>5648</f>
        <v>5648</v>
      </c>
      <c r="B5650" s="6" t="s">
        <v>14611</v>
      </c>
      <c r="C5650" s="6" t="s">
        <v>12</v>
      </c>
      <c r="D5650" s="6" t="s">
        <v>14573</v>
      </c>
      <c r="E5650" s="6" t="s">
        <v>14574</v>
      </c>
      <c r="F5650" s="6" t="s">
        <v>14612</v>
      </c>
      <c r="G5650" s="6" t="s">
        <v>16</v>
      </c>
      <c r="H5650" s="5">
        <v>1</v>
      </c>
      <c r="I5650" s="6" t="s">
        <v>14612</v>
      </c>
      <c r="J5650" s="5">
        <v>265</v>
      </c>
    </row>
    <row r="5651" s="2" customFormat="1" spans="1:10">
      <c r="A5651" s="6">
        <f>5649</f>
        <v>5649</v>
      </c>
      <c r="B5651" s="6" t="s">
        <v>14613</v>
      </c>
      <c r="C5651" s="6" t="s">
        <v>12</v>
      </c>
      <c r="D5651" s="6" t="s">
        <v>14573</v>
      </c>
      <c r="E5651" s="6" t="s">
        <v>14574</v>
      </c>
      <c r="F5651" s="6" t="s">
        <v>14614</v>
      </c>
      <c r="G5651" s="6" t="s">
        <v>16</v>
      </c>
      <c r="H5651" s="5">
        <v>1</v>
      </c>
      <c r="I5651" s="6" t="s">
        <v>14614</v>
      </c>
      <c r="J5651" s="5">
        <v>540</v>
      </c>
    </row>
    <row r="5652" s="2" customFormat="1" spans="1:10">
      <c r="A5652" s="6">
        <f>5650</f>
        <v>5650</v>
      </c>
      <c r="B5652" s="6" t="s">
        <v>14615</v>
      </c>
      <c r="C5652" s="6" t="s">
        <v>12</v>
      </c>
      <c r="D5652" s="6" t="s">
        <v>14573</v>
      </c>
      <c r="E5652" s="6" t="s">
        <v>14574</v>
      </c>
      <c r="F5652" s="6" t="s">
        <v>14616</v>
      </c>
      <c r="G5652" s="6" t="s">
        <v>16</v>
      </c>
      <c r="H5652" s="5">
        <v>1</v>
      </c>
      <c r="I5652" s="6" t="s">
        <v>14616</v>
      </c>
      <c r="J5652" s="5">
        <v>270</v>
      </c>
    </row>
    <row r="5653" s="2" customFormat="1" spans="1:10">
      <c r="A5653" s="6">
        <f>5651</f>
        <v>5651</v>
      </c>
      <c r="B5653" s="6" t="s">
        <v>14617</v>
      </c>
      <c r="C5653" s="6" t="s">
        <v>12</v>
      </c>
      <c r="D5653" s="6" t="s">
        <v>14573</v>
      </c>
      <c r="E5653" s="6" t="s">
        <v>14574</v>
      </c>
      <c r="F5653" s="6" t="s">
        <v>14618</v>
      </c>
      <c r="G5653" s="6" t="s">
        <v>16</v>
      </c>
      <c r="H5653" s="5">
        <v>1</v>
      </c>
      <c r="I5653" s="6" t="s">
        <v>14618</v>
      </c>
      <c r="J5653" s="5">
        <v>320</v>
      </c>
    </row>
    <row r="5654" s="2" customFormat="1" spans="1:10">
      <c r="A5654" s="6">
        <f>5652</f>
        <v>5652</v>
      </c>
      <c r="B5654" s="6" t="s">
        <v>14619</v>
      </c>
      <c r="C5654" s="6" t="s">
        <v>12</v>
      </c>
      <c r="D5654" s="6" t="s">
        <v>14573</v>
      </c>
      <c r="E5654" s="6" t="s">
        <v>14574</v>
      </c>
      <c r="F5654" s="6" t="s">
        <v>14620</v>
      </c>
      <c r="G5654" s="6" t="s">
        <v>16</v>
      </c>
      <c r="H5654" s="5">
        <v>1</v>
      </c>
      <c r="I5654" s="6" t="s">
        <v>14620</v>
      </c>
      <c r="J5654" s="5">
        <v>270</v>
      </c>
    </row>
    <row r="5655" s="2" customFormat="1" spans="1:10">
      <c r="A5655" s="6">
        <f>5653</f>
        <v>5653</v>
      </c>
      <c r="B5655" s="6" t="s">
        <v>14621</v>
      </c>
      <c r="C5655" s="6" t="s">
        <v>12</v>
      </c>
      <c r="D5655" s="6" t="s">
        <v>14573</v>
      </c>
      <c r="E5655" s="6" t="s">
        <v>14574</v>
      </c>
      <c r="F5655" s="6" t="s">
        <v>14622</v>
      </c>
      <c r="G5655" s="6" t="s">
        <v>16</v>
      </c>
      <c r="H5655" s="5">
        <v>1</v>
      </c>
      <c r="I5655" s="6" t="s">
        <v>14622</v>
      </c>
      <c r="J5655" s="5">
        <v>270</v>
      </c>
    </row>
    <row r="5656" s="2" customFormat="1" ht="27" spans="1:10">
      <c r="A5656" s="6">
        <f>5654</f>
        <v>5654</v>
      </c>
      <c r="B5656" s="6" t="s">
        <v>14623</v>
      </c>
      <c r="C5656" s="6" t="s">
        <v>12</v>
      </c>
      <c r="D5656" s="6" t="s">
        <v>14573</v>
      </c>
      <c r="E5656" s="6" t="s">
        <v>14574</v>
      </c>
      <c r="F5656" s="6" t="s">
        <v>14624</v>
      </c>
      <c r="G5656" s="6" t="s">
        <v>16</v>
      </c>
      <c r="H5656" s="5">
        <v>6</v>
      </c>
      <c r="I5656" s="6" t="s">
        <v>14625</v>
      </c>
      <c r="J5656" s="5">
        <v>570</v>
      </c>
    </row>
    <row r="5657" s="2" customFormat="1" spans="1:10">
      <c r="A5657" s="6">
        <f>5655</f>
        <v>5655</v>
      </c>
      <c r="B5657" s="6" t="s">
        <v>14626</v>
      </c>
      <c r="C5657" s="6" t="s">
        <v>12</v>
      </c>
      <c r="D5657" s="6" t="s">
        <v>14573</v>
      </c>
      <c r="E5657" s="6" t="s">
        <v>14574</v>
      </c>
      <c r="F5657" s="6" t="s">
        <v>14627</v>
      </c>
      <c r="G5657" s="6" t="s">
        <v>16</v>
      </c>
      <c r="H5657" s="5">
        <v>1</v>
      </c>
      <c r="I5657" s="6" t="s">
        <v>14627</v>
      </c>
      <c r="J5657" s="5">
        <v>265</v>
      </c>
    </row>
    <row r="5658" s="2" customFormat="1" spans="1:10">
      <c r="A5658" s="6">
        <f>5656</f>
        <v>5656</v>
      </c>
      <c r="B5658" s="6" t="s">
        <v>14628</v>
      </c>
      <c r="C5658" s="6" t="s">
        <v>12</v>
      </c>
      <c r="D5658" s="6" t="s">
        <v>14573</v>
      </c>
      <c r="E5658" s="6" t="s">
        <v>14574</v>
      </c>
      <c r="F5658" s="6" t="s">
        <v>14629</v>
      </c>
      <c r="G5658" s="6" t="s">
        <v>16</v>
      </c>
      <c r="H5658" s="5">
        <v>2</v>
      </c>
      <c r="I5658" s="6" t="s">
        <v>14630</v>
      </c>
      <c r="J5658" s="5">
        <v>325</v>
      </c>
    </row>
    <row r="5659" s="2" customFormat="1" spans="1:10">
      <c r="A5659" s="6">
        <f>5657</f>
        <v>5657</v>
      </c>
      <c r="B5659" s="6" t="s">
        <v>14631</v>
      </c>
      <c r="C5659" s="6" t="s">
        <v>12</v>
      </c>
      <c r="D5659" s="6" t="s">
        <v>14573</v>
      </c>
      <c r="E5659" s="6" t="s">
        <v>14574</v>
      </c>
      <c r="F5659" s="6" t="s">
        <v>14632</v>
      </c>
      <c r="G5659" s="6" t="s">
        <v>16</v>
      </c>
      <c r="H5659" s="5">
        <v>1</v>
      </c>
      <c r="I5659" s="6" t="s">
        <v>14632</v>
      </c>
      <c r="J5659" s="5">
        <v>320</v>
      </c>
    </row>
    <row r="5660" s="2" customFormat="1" spans="1:10">
      <c r="A5660" s="6">
        <f>5658</f>
        <v>5658</v>
      </c>
      <c r="B5660" s="6" t="s">
        <v>14633</v>
      </c>
      <c r="C5660" s="6" t="s">
        <v>12</v>
      </c>
      <c r="D5660" s="6" t="s">
        <v>14573</v>
      </c>
      <c r="E5660" s="6" t="s">
        <v>14574</v>
      </c>
      <c r="F5660" s="6" t="s">
        <v>14634</v>
      </c>
      <c r="G5660" s="6" t="s">
        <v>16</v>
      </c>
      <c r="H5660" s="5">
        <v>1</v>
      </c>
      <c r="I5660" s="6" t="s">
        <v>14634</v>
      </c>
      <c r="J5660" s="5">
        <v>270</v>
      </c>
    </row>
    <row r="5661" s="2" customFormat="1" spans="1:10">
      <c r="A5661" s="6">
        <f>5659</f>
        <v>5659</v>
      </c>
      <c r="B5661" s="6" t="s">
        <v>14635</v>
      </c>
      <c r="C5661" s="6" t="s">
        <v>12</v>
      </c>
      <c r="D5661" s="6" t="s">
        <v>14573</v>
      </c>
      <c r="E5661" s="6" t="s">
        <v>14574</v>
      </c>
      <c r="F5661" s="6" t="s">
        <v>14636</v>
      </c>
      <c r="G5661" s="6" t="s">
        <v>16</v>
      </c>
      <c r="H5661" s="5">
        <v>1</v>
      </c>
      <c r="I5661" s="6" t="s">
        <v>14636</v>
      </c>
      <c r="J5661" s="5">
        <v>265</v>
      </c>
    </row>
    <row r="5662" s="2" customFormat="1" spans="1:10">
      <c r="A5662" s="6">
        <f>5660</f>
        <v>5660</v>
      </c>
      <c r="B5662" s="6" t="s">
        <v>14637</v>
      </c>
      <c r="C5662" s="6" t="s">
        <v>12</v>
      </c>
      <c r="D5662" s="6" t="s">
        <v>14573</v>
      </c>
      <c r="E5662" s="6" t="s">
        <v>14574</v>
      </c>
      <c r="F5662" s="6" t="s">
        <v>14638</v>
      </c>
      <c r="G5662" s="6" t="s">
        <v>16</v>
      </c>
      <c r="H5662" s="5">
        <v>1</v>
      </c>
      <c r="I5662" s="6" t="s">
        <v>14638</v>
      </c>
      <c r="J5662" s="5">
        <v>270</v>
      </c>
    </row>
    <row r="5663" s="2" customFormat="1" ht="40.5" spans="1:10">
      <c r="A5663" s="6">
        <f>5661</f>
        <v>5661</v>
      </c>
      <c r="B5663" s="6" t="s">
        <v>14639</v>
      </c>
      <c r="C5663" s="6" t="s">
        <v>12</v>
      </c>
      <c r="D5663" s="6" t="s">
        <v>14573</v>
      </c>
      <c r="E5663" s="6" t="s">
        <v>14574</v>
      </c>
      <c r="F5663" s="6" t="s">
        <v>14640</v>
      </c>
      <c r="G5663" s="6" t="s">
        <v>16</v>
      </c>
      <c r="H5663" s="5">
        <v>7</v>
      </c>
      <c r="I5663" s="6" t="s">
        <v>14641</v>
      </c>
      <c r="J5663" s="5">
        <v>1680</v>
      </c>
    </row>
    <row r="5664" s="2" customFormat="1" spans="1:10">
      <c r="A5664" s="6">
        <f>5662</f>
        <v>5662</v>
      </c>
      <c r="B5664" s="6" t="s">
        <v>14642</v>
      </c>
      <c r="C5664" s="6" t="s">
        <v>12</v>
      </c>
      <c r="D5664" s="6" t="s">
        <v>14573</v>
      </c>
      <c r="E5664" s="6" t="s">
        <v>14574</v>
      </c>
      <c r="F5664" s="6" t="s">
        <v>14643</v>
      </c>
      <c r="G5664" s="6" t="s">
        <v>16</v>
      </c>
      <c r="H5664" s="5">
        <v>1</v>
      </c>
      <c r="I5664" s="6" t="s">
        <v>14643</v>
      </c>
      <c r="J5664" s="5">
        <v>340</v>
      </c>
    </row>
    <row r="5665" s="2" customFormat="1" ht="27" spans="1:10">
      <c r="A5665" s="6">
        <f>5663</f>
        <v>5663</v>
      </c>
      <c r="B5665" s="6" t="s">
        <v>14644</v>
      </c>
      <c r="C5665" s="6" t="s">
        <v>12</v>
      </c>
      <c r="D5665" s="6" t="s">
        <v>14573</v>
      </c>
      <c r="E5665" s="6" t="s">
        <v>14574</v>
      </c>
      <c r="F5665" s="6" t="s">
        <v>14645</v>
      </c>
      <c r="G5665" s="6" t="s">
        <v>16</v>
      </c>
      <c r="H5665" s="5">
        <v>4</v>
      </c>
      <c r="I5665" s="6" t="s">
        <v>14646</v>
      </c>
      <c r="J5665" s="5">
        <v>640</v>
      </c>
    </row>
    <row r="5666" s="2" customFormat="1" spans="1:10">
      <c r="A5666" s="6">
        <f>5664</f>
        <v>5664</v>
      </c>
      <c r="B5666" s="6" t="s">
        <v>14647</v>
      </c>
      <c r="C5666" s="6" t="s">
        <v>12</v>
      </c>
      <c r="D5666" s="6" t="s">
        <v>14573</v>
      </c>
      <c r="E5666" s="6" t="s">
        <v>14574</v>
      </c>
      <c r="F5666" s="6" t="s">
        <v>14648</v>
      </c>
      <c r="G5666" s="6" t="s">
        <v>16</v>
      </c>
      <c r="H5666" s="5">
        <v>1</v>
      </c>
      <c r="I5666" s="6" t="s">
        <v>14648</v>
      </c>
      <c r="J5666" s="5">
        <v>265</v>
      </c>
    </row>
    <row r="5667" s="2" customFormat="1" spans="1:10">
      <c r="A5667" s="6">
        <f>5665</f>
        <v>5665</v>
      </c>
      <c r="B5667" s="6" t="s">
        <v>14649</v>
      </c>
      <c r="C5667" s="6" t="s">
        <v>12</v>
      </c>
      <c r="D5667" s="6" t="s">
        <v>14573</v>
      </c>
      <c r="E5667" s="6" t="s">
        <v>14574</v>
      </c>
      <c r="F5667" s="6" t="s">
        <v>14650</v>
      </c>
      <c r="G5667" s="6" t="s">
        <v>16</v>
      </c>
      <c r="H5667" s="5">
        <v>3</v>
      </c>
      <c r="I5667" s="6" t="s">
        <v>14651</v>
      </c>
      <c r="J5667" s="5">
        <v>390</v>
      </c>
    </row>
    <row r="5668" s="2" customFormat="1" spans="1:10">
      <c r="A5668" s="6">
        <f>5666</f>
        <v>5666</v>
      </c>
      <c r="B5668" s="6" t="s">
        <v>14652</v>
      </c>
      <c r="C5668" s="6" t="s">
        <v>12</v>
      </c>
      <c r="D5668" s="6" t="s">
        <v>14573</v>
      </c>
      <c r="E5668" s="6" t="s">
        <v>14574</v>
      </c>
      <c r="F5668" s="6" t="s">
        <v>14653</v>
      </c>
      <c r="G5668" s="6" t="s">
        <v>16</v>
      </c>
      <c r="H5668" s="5">
        <v>1</v>
      </c>
      <c r="I5668" s="6" t="s">
        <v>14653</v>
      </c>
      <c r="J5668" s="5">
        <v>265</v>
      </c>
    </row>
    <row r="5669" s="2" customFormat="1" spans="1:10">
      <c r="A5669" s="6">
        <f>5667</f>
        <v>5667</v>
      </c>
      <c r="B5669" s="6" t="s">
        <v>14654</v>
      </c>
      <c r="C5669" s="6" t="s">
        <v>12</v>
      </c>
      <c r="D5669" s="6" t="s">
        <v>14573</v>
      </c>
      <c r="E5669" s="6" t="s">
        <v>14574</v>
      </c>
      <c r="F5669" s="6" t="s">
        <v>14655</v>
      </c>
      <c r="G5669" s="6" t="s">
        <v>16</v>
      </c>
      <c r="H5669" s="5">
        <v>3</v>
      </c>
      <c r="I5669" s="6" t="s">
        <v>14656</v>
      </c>
      <c r="J5669" s="5">
        <v>554</v>
      </c>
    </row>
    <row r="5670" s="2" customFormat="1" ht="27" spans="1:10">
      <c r="A5670" s="6">
        <f>5668</f>
        <v>5668</v>
      </c>
      <c r="B5670" s="6" t="s">
        <v>14657</v>
      </c>
      <c r="C5670" s="6" t="s">
        <v>12</v>
      </c>
      <c r="D5670" s="6" t="s">
        <v>14573</v>
      </c>
      <c r="E5670" s="6" t="s">
        <v>14574</v>
      </c>
      <c r="F5670" s="6" t="s">
        <v>14658</v>
      </c>
      <c r="G5670" s="6" t="s">
        <v>16</v>
      </c>
      <c r="H5670" s="5">
        <v>5</v>
      </c>
      <c r="I5670" s="6" t="s">
        <v>14659</v>
      </c>
      <c r="J5670" s="5">
        <v>1100</v>
      </c>
    </row>
    <row r="5671" s="2" customFormat="1" spans="1:10">
      <c r="A5671" s="6">
        <f>5669</f>
        <v>5669</v>
      </c>
      <c r="B5671" s="6" t="s">
        <v>14660</v>
      </c>
      <c r="C5671" s="6" t="s">
        <v>12</v>
      </c>
      <c r="D5671" s="6" t="s">
        <v>14573</v>
      </c>
      <c r="E5671" s="6" t="s">
        <v>14574</v>
      </c>
      <c r="F5671" s="6" t="s">
        <v>14661</v>
      </c>
      <c r="G5671" s="6" t="s">
        <v>16</v>
      </c>
      <c r="H5671" s="5">
        <v>3</v>
      </c>
      <c r="I5671" s="6" t="s">
        <v>14662</v>
      </c>
      <c r="J5671" s="5">
        <v>390</v>
      </c>
    </row>
    <row r="5672" s="2" customFormat="1" spans="1:10">
      <c r="A5672" s="6">
        <f>5670</f>
        <v>5670</v>
      </c>
      <c r="B5672" s="6" t="s">
        <v>14663</v>
      </c>
      <c r="C5672" s="6" t="s">
        <v>12</v>
      </c>
      <c r="D5672" s="6" t="s">
        <v>14573</v>
      </c>
      <c r="E5672" s="6" t="s">
        <v>14574</v>
      </c>
      <c r="F5672" s="6" t="s">
        <v>14664</v>
      </c>
      <c r="G5672" s="6" t="s">
        <v>16</v>
      </c>
      <c r="H5672" s="5">
        <v>1</v>
      </c>
      <c r="I5672" s="6" t="s">
        <v>14664</v>
      </c>
      <c r="J5672" s="5">
        <v>270</v>
      </c>
    </row>
    <row r="5673" s="2" customFormat="1" ht="27" spans="1:10">
      <c r="A5673" s="6">
        <f>5671</f>
        <v>5671</v>
      </c>
      <c r="B5673" s="6" t="s">
        <v>14665</v>
      </c>
      <c r="C5673" s="6" t="s">
        <v>12</v>
      </c>
      <c r="D5673" s="6" t="s">
        <v>14573</v>
      </c>
      <c r="E5673" s="6" t="s">
        <v>14574</v>
      </c>
      <c r="F5673" s="6" t="s">
        <v>14666</v>
      </c>
      <c r="G5673" s="6" t="s">
        <v>16</v>
      </c>
      <c r="H5673" s="5">
        <v>5</v>
      </c>
      <c r="I5673" s="6" t="s">
        <v>14667</v>
      </c>
      <c r="J5673" s="5">
        <v>720</v>
      </c>
    </row>
    <row r="5674" s="2" customFormat="1" spans="1:10">
      <c r="A5674" s="6">
        <f>5672</f>
        <v>5672</v>
      </c>
      <c r="B5674" s="6" t="s">
        <v>14668</v>
      </c>
      <c r="C5674" s="6" t="s">
        <v>12</v>
      </c>
      <c r="D5674" s="6" t="s">
        <v>14573</v>
      </c>
      <c r="E5674" s="6" t="s">
        <v>14574</v>
      </c>
      <c r="F5674" s="6" t="s">
        <v>14669</v>
      </c>
      <c r="G5674" s="6" t="s">
        <v>16</v>
      </c>
      <c r="H5674" s="5">
        <v>1</v>
      </c>
      <c r="I5674" s="6" t="s">
        <v>14669</v>
      </c>
      <c r="J5674" s="5">
        <v>270</v>
      </c>
    </row>
    <row r="5675" s="2" customFormat="1" spans="1:10">
      <c r="A5675" s="6">
        <f>5673</f>
        <v>5673</v>
      </c>
      <c r="B5675" s="6" t="s">
        <v>14670</v>
      </c>
      <c r="C5675" s="6" t="s">
        <v>12</v>
      </c>
      <c r="D5675" s="6" t="s">
        <v>14573</v>
      </c>
      <c r="E5675" s="6" t="s">
        <v>14574</v>
      </c>
      <c r="F5675" s="6" t="s">
        <v>14671</v>
      </c>
      <c r="G5675" s="6" t="s">
        <v>16</v>
      </c>
      <c r="H5675" s="5">
        <v>1</v>
      </c>
      <c r="I5675" s="6" t="s">
        <v>14671</v>
      </c>
      <c r="J5675" s="5">
        <v>270</v>
      </c>
    </row>
    <row r="5676" s="2" customFormat="1" ht="27" spans="1:10">
      <c r="A5676" s="6">
        <f>5674</f>
        <v>5674</v>
      </c>
      <c r="B5676" s="6" t="s">
        <v>14672</v>
      </c>
      <c r="C5676" s="6" t="s">
        <v>12</v>
      </c>
      <c r="D5676" s="6" t="s">
        <v>14573</v>
      </c>
      <c r="E5676" s="6" t="s">
        <v>14574</v>
      </c>
      <c r="F5676" s="6" t="s">
        <v>14673</v>
      </c>
      <c r="G5676" s="6" t="s">
        <v>16</v>
      </c>
      <c r="H5676" s="5">
        <v>4</v>
      </c>
      <c r="I5676" s="6" t="s">
        <v>14674</v>
      </c>
      <c r="J5676" s="5">
        <v>596</v>
      </c>
    </row>
    <row r="5677" s="2" customFormat="1" spans="1:10">
      <c r="A5677" s="6">
        <f>5675</f>
        <v>5675</v>
      </c>
      <c r="B5677" s="6" t="s">
        <v>14675</v>
      </c>
      <c r="C5677" s="6" t="s">
        <v>12</v>
      </c>
      <c r="D5677" s="6" t="s">
        <v>14573</v>
      </c>
      <c r="E5677" s="6" t="s">
        <v>14574</v>
      </c>
      <c r="F5677" s="6" t="s">
        <v>14676</v>
      </c>
      <c r="G5677" s="6" t="s">
        <v>16</v>
      </c>
      <c r="H5677" s="5">
        <v>3</v>
      </c>
      <c r="I5677" s="6" t="s">
        <v>14677</v>
      </c>
      <c r="J5677" s="5">
        <v>453</v>
      </c>
    </row>
    <row r="5678" s="2" customFormat="1" spans="1:10">
      <c r="A5678" s="6">
        <f>5676</f>
        <v>5676</v>
      </c>
      <c r="B5678" s="6" t="s">
        <v>14678</v>
      </c>
      <c r="C5678" s="6" t="s">
        <v>12</v>
      </c>
      <c r="D5678" s="6" t="s">
        <v>14573</v>
      </c>
      <c r="E5678" s="6" t="s">
        <v>14574</v>
      </c>
      <c r="F5678" s="6" t="s">
        <v>14679</v>
      </c>
      <c r="G5678" s="6" t="s">
        <v>16</v>
      </c>
      <c r="H5678" s="5">
        <v>3</v>
      </c>
      <c r="I5678" s="6" t="s">
        <v>14680</v>
      </c>
      <c r="J5678" s="5">
        <v>1360</v>
      </c>
    </row>
    <row r="5679" s="2" customFormat="1" spans="1:10">
      <c r="A5679" s="6">
        <f>5677</f>
        <v>5677</v>
      </c>
      <c r="B5679" s="6" t="s">
        <v>14681</v>
      </c>
      <c r="C5679" s="6" t="s">
        <v>12</v>
      </c>
      <c r="D5679" s="6" t="s">
        <v>14573</v>
      </c>
      <c r="E5679" s="6" t="s">
        <v>14574</v>
      </c>
      <c r="F5679" s="6" t="s">
        <v>14682</v>
      </c>
      <c r="G5679" s="6" t="s">
        <v>16</v>
      </c>
      <c r="H5679" s="5">
        <v>2</v>
      </c>
      <c r="I5679" s="6" t="s">
        <v>14683</v>
      </c>
      <c r="J5679" s="5">
        <v>560</v>
      </c>
    </row>
    <row r="5680" s="2" customFormat="1" spans="1:10">
      <c r="A5680" s="6">
        <f>5678</f>
        <v>5678</v>
      </c>
      <c r="B5680" s="6" t="s">
        <v>14684</v>
      </c>
      <c r="C5680" s="6" t="s">
        <v>12</v>
      </c>
      <c r="D5680" s="6" t="s">
        <v>14573</v>
      </c>
      <c r="E5680" s="6" t="s">
        <v>14574</v>
      </c>
      <c r="F5680" s="6" t="s">
        <v>14685</v>
      </c>
      <c r="G5680" s="6" t="s">
        <v>16</v>
      </c>
      <c r="H5680" s="5">
        <v>1</v>
      </c>
      <c r="I5680" s="6" t="s">
        <v>14685</v>
      </c>
      <c r="J5680" s="5">
        <v>270</v>
      </c>
    </row>
    <row r="5681" s="2" customFormat="1" spans="1:10">
      <c r="A5681" s="6">
        <f>5679</f>
        <v>5679</v>
      </c>
      <c r="B5681" s="6" t="s">
        <v>14686</v>
      </c>
      <c r="C5681" s="6" t="s">
        <v>12</v>
      </c>
      <c r="D5681" s="6" t="s">
        <v>14573</v>
      </c>
      <c r="E5681" s="6" t="s">
        <v>14574</v>
      </c>
      <c r="F5681" s="6" t="s">
        <v>14687</v>
      </c>
      <c r="G5681" s="6" t="s">
        <v>16</v>
      </c>
      <c r="H5681" s="5">
        <v>1</v>
      </c>
      <c r="I5681" s="6" t="s">
        <v>14687</v>
      </c>
      <c r="J5681" s="5">
        <v>270</v>
      </c>
    </row>
    <row r="5682" s="2" customFormat="1" spans="1:10">
      <c r="A5682" s="6">
        <f>5680</f>
        <v>5680</v>
      </c>
      <c r="B5682" s="6" t="s">
        <v>14688</v>
      </c>
      <c r="C5682" s="6" t="s">
        <v>12</v>
      </c>
      <c r="D5682" s="6" t="s">
        <v>14573</v>
      </c>
      <c r="E5682" s="6" t="s">
        <v>14574</v>
      </c>
      <c r="F5682" s="6" t="s">
        <v>14689</v>
      </c>
      <c r="G5682" s="6" t="s">
        <v>16</v>
      </c>
      <c r="H5682" s="5">
        <v>1</v>
      </c>
      <c r="I5682" s="6" t="s">
        <v>14689</v>
      </c>
      <c r="J5682" s="5">
        <v>270</v>
      </c>
    </row>
    <row r="5683" s="2" customFormat="1" spans="1:10">
      <c r="A5683" s="6">
        <f>5681</f>
        <v>5681</v>
      </c>
      <c r="B5683" s="6" t="s">
        <v>14690</v>
      </c>
      <c r="C5683" s="6" t="s">
        <v>12</v>
      </c>
      <c r="D5683" s="6" t="s">
        <v>14573</v>
      </c>
      <c r="E5683" s="6" t="s">
        <v>14574</v>
      </c>
      <c r="F5683" s="6" t="s">
        <v>14691</v>
      </c>
      <c r="G5683" s="6" t="s">
        <v>16</v>
      </c>
      <c r="H5683" s="5">
        <v>1</v>
      </c>
      <c r="I5683" s="6" t="s">
        <v>14691</v>
      </c>
      <c r="J5683" s="5">
        <v>265</v>
      </c>
    </row>
    <row r="5684" s="2" customFormat="1" spans="1:10">
      <c r="A5684" s="6">
        <f>5682</f>
        <v>5682</v>
      </c>
      <c r="B5684" s="6" t="s">
        <v>14692</v>
      </c>
      <c r="C5684" s="6" t="s">
        <v>12</v>
      </c>
      <c r="D5684" s="6" t="s">
        <v>14573</v>
      </c>
      <c r="E5684" s="6" t="s">
        <v>14574</v>
      </c>
      <c r="F5684" s="6" t="s">
        <v>14693</v>
      </c>
      <c r="G5684" s="6" t="s">
        <v>16</v>
      </c>
      <c r="H5684" s="5">
        <v>3</v>
      </c>
      <c r="I5684" s="6" t="s">
        <v>14694</v>
      </c>
      <c r="J5684" s="5">
        <v>920</v>
      </c>
    </row>
    <row r="5685" s="2" customFormat="1" spans="1:10">
      <c r="A5685" s="6">
        <f>5683</f>
        <v>5683</v>
      </c>
      <c r="B5685" s="6" t="s">
        <v>14695</v>
      </c>
      <c r="C5685" s="6" t="s">
        <v>12</v>
      </c>
      <c r="D5685" s="6" t="s">
        <v>14573</v>
      </c>
      <c r="E5685" s="6" t="s">
        <v>14574</v>
      </c>
      <c r="F5685" s="6" t="s">
        <v>9724</v>
      </c>
      <c r="G5685" s="6" t="s">
        <v>16</v>
      </c>
      <c r="H5685" s="5">
        <v>2</v>
      </c>
      <c r="I5685" s="6" t="s">
        <v>14696</v>
      </c>
      <c r="J5685" s="5">
        <v>332</v>
      </c>
    </row>
    <row r="5686" s="2" customFormat="1" spans="1:10">
      <c r="A5686" s="6">
        <f>5684</f>
        <v>5684</v>
      </c>
      <c r="B5686" s="6" t="s">
        <v>14697</v>
      </c>
      <c r="C5686" s="6" t="s">
        <v>12</v>
      </c>
      <c r="D5686" s="6" t="s">
        <v>14573</v>
      </c>
      <c r="E5686" s="6" t="s">
        <v>14574</v>
      </c>
      <c r="F5686" s="6" t="s">
        <v>14698</v>
      </c>
      <c r="G5686" s="6" t="s">
        <v>16</v>
      </c>
      <c r="H5686" s="5">
        <v>1</v>
      </c>
      <c r="I5686" s="6" t="s">
        <v>14698</v>
      </c>
      <c r="J5686" s="5">
        <v>265</v>
      </c>
    </row>
    <row r="5687" s="2" customFormat="1" spans="1:10">
      <c r="A5687" s="6">
        <f>5685</f>
        <v>5685</v>
      </c>
      <c r="B5687" s="6" t="s">
        <v>14699</v>
      </c>
      <c r="C5687" s="6" t="s">
        <v>12</v>
      </c>
      <c r="D5687" s="6" t="s">
        <v>14573</v>
      </c>
      <c r="E5687" s="6" t="s">
        <v>14574</v>
      </c>
      <c r="F5687" s="6" t="s">
        <v>14700</v>
      </c>
      <c r="G5687" s="6" t="s">
        <v>16</v>
      </c>
      <c r="H5687" s="5">
        <v>1</v>
      </c>
      <c r="I5687" s="6" t="s">
        <v>14700</v>
      </c>
      <c r="J5687" s="5">
        <v>340</v>
      </c>
    </row>
    <row r="5688" s="2" customFormat="1" spans="1:10">
      <c r="A5688" s="6">
        <f>5686</f>
        <v>5686</v>
      </c>
      <c r="B5688" s="6" t="s">
        <v>14701</v>
      </c>
      <c r="C5688" s="6" t="s">
        <v>12</v>
      </c>
      <c r="D5688" s="6" t="s">
        <v>14573</v>
      </c>
      <c r="E5688" s="6" t="s">
        <v>14574</v>
      </c>
      <c r="F5688" s="6" t="s">
        <v>14702</v>
      </c>
      <c r="G5688" s="6" t="s">
        <v>16</v>
      </c>
      <c r="H5688" s="5">
        <v>1</v>
      </c>
      <c r="I5688" s="6" t="s">
        <v>14702</v>
      </c>
      <c r="J5688" s="5">
        <v>270</v>
      </c>
    </row>
    <row r="5689" s="2" customFormat="1" spans="1:10">
      <c r="A5689" s="6">
        <f>5687</f>
        <v>5687</v>
      </c>
      <c r="B5689" s="6" t="s">
        <v>14703</v>
      </c>
      <c r="C5689" s="6" t="s">
        <v>12</v>
      </c>
      <c r="D5689" s="6" t="s">
        <v>14573</v>
      </c>
      <c r="E5689" s="6" t="s">
        <v>14574</v>
      </c>
      <c r="F5689" s="6" t="s">
        <v>14704</v>
      </c>
      <c r="G5689" s="6" t="s">
        <v>16</v>
      </c>
      <c r="H5689" s="5">
        <v>1</v>
      </c>
      <c r="I5689" s="6" t="s">
        <v>14704</v>
      </c>
      <c r="J5689" s="5">
        <v>410</v>
      </c>
    </row>
    <row r="5690" s="2" customFormat="1" spans="1:10">
      <c r="A5690" s="6">
        <f>5688</f>
        <v>5688</v>
      </c>
      <c r="B5690" s="6" t="s">
        <v>14705</v>
      </c>
      <c r="C5690" s="6" t="s">
        <v>12</v>
      </c>
      <c r="D5690" s="6" t="s">
        <v>14573</v>
      </c>
      <c r="E5690" s="6" t="s">
        <v>14574</v>
      </c>
      <c r="F5690" s="6" t="s">
        <v>14706</v>
      </c>
      <c r="G5690" s="6" t="s">
        <v>16</v>
      </c>
      <c r="H5690" s="5">
        <v>1</v>
      </c>
      <c r="I5690" s="6" t="s">
        <v>14706</v>
      </c>
      <c r="J5690" s="5">
        <v>270</v>
      </c>
    </row>
    <row r="5691" s="2" customFormat="1" spans="1:10">
      <c r="A5691" s="6">
        <f>5689</f>
        <v>5689</v>
      </c>
      <c r="B5691" s="6" t="s">
        <v>14707</v>
      </c>
      <c r="C5691" s="6" t="s">
        <v>12</v>
      </c>
      <c r="D5691" s="6" t="s">
        <v>14573</v>
      </c>
      <c r="E5691" s="6" t="s">
        <v>14574</v>
      </c>
      <c r="F5691" s="6" t="s">
        <v>14708</v>
      </c>
      <c r="G5691" s="6" t="s">
        <v>16</v>
      </c>
      <c r="H5691" s="5">
        <v>1</v>
      </c>
      <c r="I5691" s="6" t="s">
        <v>14708</v>
      </c>
      <c r="J5691" s="5">
        <v>270</v>
      </c>
    </row>
    <row r="5692" s="2" customFormat="1" spans="1:10">
      <c r="A5692" s="6">
        <f>5690</f>
        <v>5690</v>
      </c>
      <c r="B5692" s="6" t="s">
        <v>14709</v>
      </c>
      <c r="C5692" s="6" t="s">
        <v>12</v>
      </c>
      <c r="D5692" s="6" t="s">
        <v>14573</v>
      </c>
      <c r="E5692" s="6" t="s">
        <v>14574</v>
      </c>
      <c r="F5692" s="6" t="s">
        <v>14710</v>
      </c>
      <c r="G5692" s="6" t="s">
        <v>16</v>
      </c>
      <c r="H5692" s="5">
        <v>1</v>
      </c>
      <c r="I5692" s="6" t="s">
        <v>14710</v>
      </c>
      <c r="J5692" s="5">
        <v>400</v>
      </c>
    </row>
    <row r="5693" s="2" customFormat="1" spans="1:10">
      <c r="A5693" s="6">
        <f>5691</f>
        <v>5691</v>
      </c>
      <c r="B5693" s="6" t="s">
        <v>14711</v>
      </c>
      <c r="C5693" s="6" t="s">
        <v>12</v>
      </c>
      <c r="D5693" s="6" t="s">
        <v>14573</v>
      </c>
      <c r="E5693" s="6" t="s">
        <v>14574</v>
      </c>
      <c r="F5693" s="6" t="s">
        <v>5189</v>
      </c>
      <c r="G5693" s="6" t="s">
        <v>16</v>
      </c>
      <c r="H5693" s="5">
        <v>1</v>
      </c>
      <c r="I5693" s="6" t="s">
        <v>5189</v>
      </c>
      <c r="J5693" s="5">
        <v>285</v>
      </c>
    </row>
    <row r="5694" s="2" customFormat="1" spans="1:10">
      <c r="A5694" s="6">
        <f>5692</f>
        <v>5692</v>
      </c>
      <c r="B5694" s="6" t="s">
        <v>14712</v>
      </c>
      <c r="C5694" s="6" t="s">
        <v>12</v>
      </c>
      <c r="D5694" s="6" t="s">
        <v>14573</v>
      </c>
      <c r="E5694" s="6" t="s">
        <v>14574</v>
      </c>
      <c r="F5694" s="6" t="s">
        <v>14713</v>
      </c>
      <c r="G5694" s="6" t="s">
        <v>16</v>
      </c>
      <c r="H5694" s="5">
        <v>3</v>
      </c>
      <c r="I5694" s="6" t="s">
        <v>14714</v>
      </c>
      <c r="J5694" s="5">
        <v>870</v>
      </c>
    </row>
    <row r="5695" s="2" customFormat="1" spans="1:10">
      <c r="A5695" s="6">
        <f>5693</f>
        <v>5693</v>
      </c>
      <c r="B5695" s="6" t="s">
        <v>14715</v>
      </c>
      <c r="C5695" s="6" t="s">
        <v>12</v>
      </c>
      <c r="D5695" s="6" t="s">
        <v>14573</v>
      </c>
      <c r="E5695" s="6" t="s">
        <v>14574</v>
      </c>
      <c r="F5695" s="6" t="s">
        <v>14716</v>
      </c>
      <c r="G5695" s="6" t="s">
        <v>16</v>
      </c>
      <c r="H5695" s="5">
        <v>1</v>
      </c>
      <c r="I5695" s="6" t="s">
        <v>14716</v>
      </c>
      <c r="J5695" s="5">
        <v>270</v>
      </c>
    </row>
    <row r="5696" s="2" customFormat="1" spans="1:10">
      <c r="A5696" s="6">
        <f>5694</f>
        <v>5694</v>
      </c>
      <c r="B5696" s="6" t="s">
        <v>14717</v>
      </c>
      <c r="C5696" s="6" t="s">
        <v>12</v>
      </c>
      <c r="D5696" s="6" t="s">
        <v>14573</v>
      </c>
      <c r="E5696" s="6" t="s">
        <v>14574</v>
      </c>
      <c r="F5696" s="6" t="s">
        <v>14718</v>
      </c>
      <c r="G5696" s="6" t="s">
        <v>16</v>
      </c>
      <c r="H5696" s="5">
        <v>1</v>
      </c>
      <c r="I5696" s="6" t="s">
        <v>14718</v>
      </c>
      <c r="J5696" s="5">
        <v>345</v>
      </c>
    </row>
    <row r="5697" s="2" customFormat="1" spans="1:10">
      <c r="A5697" s="6">
        <f>5695</f>
        <v>5695</v>
      </c>
      <c r="B5697" s="6" t="s">
        <v>14719</v>
      </c>
      <c r="C5697" s="6" t="s">
        <v>12</v>
      </c>
      <c r="D5697" s="6" t="s">
        <v>14573</v>
      </c>
      <c r="E5697" s="6" t="s">
        <v>14574</v>
      </c>
      <c r="F5697" s="6" t="s">
        <v>14720</v>
      </c>
      <c r="G5697" s="6" t="s">
        <v>16</v>
      </c>
      <c r="H5697" s="5">
        <v>1</v>
      </c>
      <c r="I5697" s="6" t="s">
        <v>14720</v>
      </c>
      <c r="J5697" s="5">
        <v>320</v>
      </c>
    </row>
    <row r="5698" s="2" customFormat="1" spans="1:10">
      <c r="A5698" s="6">
        <f>5696</f>
        <v>5696</v>
      </c>
      <c r="B5698" s="6" t="s">
        <v>14721</v>
      </c>
      <c r="C5698" s="6" t="s">
        <v>12</v>
      </c>
      <c r="D5698" s="6" t="s">
        <v>14573</v>
      </c>
      <c r="E5698" s="6" t="s">
        <v>14574</v>
      </c>
      <c r="F5698" s="6" t="s">
        <v>14722</v>
      </c>
      <c r="G5698" s="6" t="s">
        <v>16</v>
      </c>
      <c r="H5698" s="5">
        <v>1</v>
      </c>
      <c r="I5698" s="6" t="s">
        <v>14722</v>
      </c>
      <c r="J5698" s="5">
        <v>400</v>
      </c>
    </row>
    <row r="5699" s="2" customFormat="1" spans="1:10">
      <c r="A5699" s="6">
        <f>5697</f>
        <v>5697</v>
      </c>
      <c r="B5699" s="6" t="s">
        <v>14723</v>
      </c>
      <c r="C5699" s="6" t="s">
        <v>12</v>
      </c>
      <c r="D5699" s="6" t="s">
        <v>14573</v>
      </c>
      <c r="E5699" s="6" t="s">
        <v>14574</v>
      </c>
      <c r="F5699" s="6" t="s">
        <v>14724</v>
      </c>
      <c r="G5699" s="6" t="s">
        <v>16</v>
      </c>
      <c r="H5699" s="5">
        <v>1</v>
      </c>
      <c r="I5699" s="6" t="s">
        <v>14724</v>
      </c>
      <c r="J5699" s="5">
        <v>270</v>
      </c>
    </row>
    <row r="5700" s="2" customFormat="1" ht="27" spans="1:10">
      <c r="A5700" s="6">
        <f>5698</f>
        <v>5698</v>
      </c>
      <c r="B5700" s="6" t="s">
        <v>14725</v>
      </c>
      <c r="C5700" s="6" t="s">
        <v>12</v>
      </c>
      <c r="D5700" s="6" t="s">
        <v>14573</v>
      </c>
      <c r="E5700" s="6" t="s">
        <v>14574</v>
      </c>
      <c r="F5700" s="6" t="s">
        <v>14726</v>
      </c>
      <c r="G5700" s="6" t="s">
        <v>16</v>
      </c>
      <c r="H5700" s="5">
        <v>5</v>
      </c>
      <c r="I5700" s="6" t="s">
        <v>14727</v>
      </c>
      <c r="J5700" s="5">
        <v>800</v>
      </c>
    </row>
    <row r="5701" s="2" customFormat="1" spans="1:10">
      <c r="A5701" s="6">
        <f>5699</f>
        <v>5699</v>
      </c>
      <c r="B5701" s="6" t="s">
        <v>14728</v>
      </c>
      <c r="C5701" s="6" t="s">
        <v>12</v>
      </c>
      <c r="D5701" s="6" t="s">
        <v>14573</v>
      </c>
      <c r="E5701" s="6" t="s">
        <v>14574</v>
      </c>
      <c r="F5701" s="6" t="s">
        <v>14729</v>
      </c>
      <c r="G5701" s="6" t="s">
        <v>16</v>
      </c>
      <c r="H5701" s="5">
        <v>1</v>
      </c>
      <c r="I5701" s="6" t="s">
        <v>14729</v>
      </c>
      <c r="J5701" s="5">
        <v>265</v>
      </c>
    </row>
    <row r="5702" s="2" customFormat="1" spans="1:10">
      <c r="A5702" s="6">
        <f>5700</f>
        <v>5700</v>
      </c>
      <c r="B5702" s="6" t="s">
        <v>14730</v>
      </c>
      <c r="C5702" s="6" t="s">
        <v>12</v>
      </c>
      <c r="D5702" s="6" t="s">
        <v>14573</v>
      </c>
      <c r="E5702" s="6" t="s">
        <v>14574</v>
      </c>
      <c r="F5702" s="6" t="s">
        <v>14731</v>
      </c>
      <c r="G5702" s="6" t="s">
        <v>16</v>
      </c>
      <c r="H5702" s="5">
        <v>1</v>
      </c>
      <c r="I5702" s="6" t="s">
        <v>14731</v>
      </c>
      <c r="J5702" s="5">
        <v>265</v>
      </c>
    </row>
    <row r="5703" s="2" customFormat="1" spans="1:10">
      <c r="A5703" s="6">
        <f>5701</f>
        <v>5701</v>
      </c>
      <c r="B5703" s="6" t="s">
        <v>14732</v>
      </c>
      <c r="C5703" s="6" t="s">
        <v>12</v>
      </c>
      <c r="D5703" s="6" t="s">
        <v>14573</v>
      </c>
      <c r="E5703" s="6" t="s">
        <v>14574</v>
      </c>
      <c r="F5703" s="6" t="s">
        <v>14733</v>
      </c>
      <c r="G5703" s="6" t="s">
        <v>16</v>
      </c>
      <c r="H5703" s="5">
        <v>1</v>
      </c>
      <c r="I5703" s="6" t="s">
        <v>14733</v>
      </c>
      <c r="J5703" s="5">
        <v>270</v>
      </c>
    </row>
    <row r="5704" s="2" customFormat="1" ht="27" spans="1:10">
      <c r="A5704" s="6">
        <f>5702</f>
        <v>5702</v>
      </c>
      <c r="B5704" s="6" t="s">
        <v>14734</v>
      </c>
      <c r="C5704" s="6" t="s">
        <v>12</v>
      </c>
      <c r="D5704" s="6" t="s">
        <v>14573</v>
      </c>
      <c r="E5704" s="6" t="s">
        <v>14574</v>
      </c>
      <c r="F5704" s="6" t="s">
        <v>14735</v>
      </c>
      <c r="G5704" s="6" t="s">
        <v>16</v>
      </c>
      <c r="H5704" s="5">
        <v>5</v>
      </c>
      <c r="I5704" s="6" t="s">
        <v>14736</v>
      </c>
      <c r="J5704" s="5">
        <v>510</v>
      </c>
    </row>
    <row r="5705" s="2" customFormat="1" spans="1:10">
      <c r="A5705" s="6">
        <f>5703</f>
        <v>5703</v>
      </c>
      <c r="B5705" s="6" t="s">
        <v>14737</v>
      </c>
      <c r="C5705" s="6" t="s">
        <v>12</v>
      </c>
      <c r="D5705" s="6" t="s">
        <v>14573</v>
      </c>
      <c r="E5705" s="6" t="s">
        <v>14574</v>
      </c>
      <c r="F5705" s="6" t="s">
        <v>14738</v>
      </c>
      <c r="G5705" s="6" t="s">
        <v>16</v>
      </c>
      <c r="H5705" s="5">
        <v>3</v>
      </c>
      <c r="I5705" s="6" t="s">
        <v>14739</v>
      </c>
      <c r="J5705" s="5">
        <v>580</v>
      </c>
    </row>
    <row r="5706" s="2" customFormat="1" spans="1:10">
      <c r="A5706" s="6">
        <f>5704</f>
        <v>5704</v>
      </c>
      <c r="B5706" s="6" t="s">
        <v>14740</v>
      </c>
      <c r="C5706" s="6" t="s">
        <v>12</v>
      </c>
      <c r="D5706" s="6" t="s">
        <v>14573</v>
      </c>
      <c r="E5706" s="6" t="s">
        <v>14574</v>
      </c>
      <c r="F5706" s="6" t="s">
        <v>14741</v>
      </c>
      <c r="G5706" s="6" t="s">
        <v>16</v>
      </c>
      <c r="H5706" s="5">
        <v>1</v>
      </c>
      <c r="I5706" s="6" t="s">
        <v>14741</v>
      </c>
      <c r="J5706" s="5">
        <v>361</v>
      </c>
    </row>
    <row r="5707" s="2" customFormat="1" ht="27" spans="1:10">
      <c r="A5707" s="6">
        <f>5705</f>
        <v>5705</v>
      </c>
      <c r="B5707" s="6" t="s">
        <v>14742</v>
      </c>
      <c r="C5707" s="6" t="s">
        <v>12</v>
      </c>
      <c r="D5707" s="6" t="s">
        <v>14573</v>
      </c>
      <c r="E5707" s="6" t="s">
        <v>14574</v>
      </c>
      <c r="F5707" s="6" t="s">
        <v>14743</v>
      </c>
      <c r="G5707" s="6" t="s">
        <v>16</v>
      </c>
      <c r="H5707" s="5">
        <v>5</v>
      </c>
      <c r="I5707" s="6" t="s">
        <v>14744</v>
      </c>
      <c r="J5707" s="5">
        <v>1010</v>
      </c>
    </row>
    <row r="5708" s="2" customFormat="1" spans="1:10">
      <c r="A5708" s="6">
        <f>5706</f>
        <v>5706</v>
      </c>
      <c r="B5708" s="6" t="s">
        <v>14745</v>
      </c>
      <c r="C5708" s="6" t="s">
        <v>12</v>
      </c>
      <c r="D5708" s="6" t="s">
        <v>14573</v>
      </c>
      <c r="E5708" s="6" t="s">
        <v>14574</v>
      </c>
      <c r="F5708" s="6" t="s">
        <v>14746</v>
      </c>
      <c r="G5708" s="6" t="s">
        <v>16</v>
      </c>
      <c r="H5708" s="5">
        <v>1</v>
      </c>
      <c r="I5708" s="6" t="s">
        <v>14746</v>
      </c>
      <c r="J5708" s="5">
        <v>400</v>
      </c>
    </row>
    <row r="5709" s="2" customFormat="1" spans="1:10">
      <c r="A5709" s="6">
        <f>5707</f>
        <v>5707</v>
      </c>
      <c r="B5709" s="6" t="s">
        <v>14747</v>
      </c>
      <c r="C5709" s="6" t="s">
        <v>12</v>
      </c>
      <c r="D5709" s="6" t="s">
        <v>14573</v>
      </c>
      <c r="E5709" s="6" t="s">
        <v>14574</v>
      </c>
      <c r="F5709" s="6" t="s">
        <v>14748</v>
      </c>
      <c r="G5709" s="6" t="s">
        <v>16</v>
      </c>
      <c r="H5709" s="5">
        <v>1</v>
      </c>
      <c r="I5709" s="6" t="s">
        <v>14748</v>
      </c>
      <c r="J5709" s="5">
        <v>270</v>
      </c>
    </row>
    <row r="5710" s="2" customFormat="1" ht="27" spans="1:10">
      <c r="A5710" s="6">
        <f>5708</f>
        <v>5708</v>
      </c>
      <c r="B5710" s="6" t="s">
        <v>14749</v>
      </c>
      <c r="C5710" s="6" t="s">
        <v>12</v>
      </c>
      <c r="D5710" s="6" t="s">
        <v>14573</v>
      </c>
      <c r="E5710" s="6" t="s">
        <v>14574</v>
      </c>
      <c r="F5710" s="6" t="s">
        <v>14750</v>
      </c>
      <c r="G5710" s="6" t="s">
        <v>16</v>
      </c>
      <c r="H5710" s="5">
        <v>4</v>
      </c>
      <c r="I5710" s="6" t="s">
        <v>14751</v>
      </c>
      <c r="J5710" s="5">
        <v>1360</v>
      </c>
    </row>
    <row r="5711" s="2" customFormat="1" ht="27" spans="1:10">
      <c r="A5711" s="6">
        <f>5709</f>
        <v>5709</v>
      </c>
      <c r="B5711" s="6" t="s">
        <v>14752</v>
      </c>
      <c r="C5711" s="6" t="s">
        <v>12</v>
      </c>
      <c r="D5711" s="6" t="s">
        <v>14573</v>
      </c>
      <c r="E5711" s="6" t="s">
        <v>14574</v>
      </c>
      <c r="F5711" s="6" t="s">
        <v>14753</v>
      </c>
      <c r="G5711" s="6" t="s">
        <v>16</v>
      </c>
      <c r="H5711" s="5">
        <v>5</v>
      </c>
      <c r="I5711" s="6" t="s">
        <v>14754</v>
      </c>
      <c r="J5711" s="5">
        <v>700</v>
      </c>
    </row>
    <row r="5712" s="2" customFormat="1" spans="1:10">
      <c r="A5712" s="6">
        <f>5710</f>
        <v>5710</v>
      </c>
      <c r="B5712" s="6" t="s">
        <v>14755</v>
      </c>
      <c r="C5712" s="6" t="s">
        <v>12</v>
      </c>
      <c r="D5712" s="6" t="s">
        <v>14573</v>
      </c>
      <c r="E5712" s="6" t="s">
        <v>14574</v>
      </c>
      <c r="F5712" s="6" t="s">
        <v>14756</v>
      </c>
      <c r="G5712" s="6" t="s">
        <v>16</v>
      </c>
      <c r="H5712" s="5">
        <v>1</v>
      </c>
      <c r="I5712" s="6" t="s">
        <v>14756</v>
      </c>
      <c r="J5712" s="5">
        <v>390</v>
      </c>
    </row>
    <row r="5713" s="2" customFormat="1" ht="27" spans="1:10">
      <c r="A5713" s="6">
        <f>5711</f>
        <v>5711</v>
      </c>
      <c r="B5713" s="6" t="s">
        <v>14757</v>
      </c>
      <c r="C5713" s="6" t="s">
        <v>12</v>
      </c>
      <c r="D5713" s="6" t="s">
        <v>14573</v>
      </c>
      <c r="E5713" s="6" t="s">
        <v>14758</v>
      </c>
      <c r="F5713" s="6" t="s">
        <v>14759</v>
      </c>
      <c r="G5713" s="6" t="s">
        <v>16</v>
      </c>
      <c r="H5713" s="5">
        <v>4</v>
      </c>
      <c r="I5713" s="6" t="s">
        <v>14760</v>
      </c>
      <c r="J5713" s="5">
        <v>700</v>
      </c>
    </row>
    <row r="5714" s="2" customFormat="1" spans="1:10">
      <c r="A5714" s="6">
        <f>5712</f>
        <v>5712</v>
      </c>
      <c r="B5714" s="6" t="s">
        <v>14761</v>
      </c>
      <c r="C5714" s="6" t="s">
        <v>12</v>
      </c>
      <c r="D5714" s="6" t="s">
        <v>14573</v>
      </c>
      <c r="E5714" s="6" t="s">
        <v>14758</v>
      </c>
      <c r="F5714" s="6" t="s">
        <v>14762</v>
      </c>
      <c r="G5714" s="6" t="s">
        <v>16</v>
      </c>
      <c r="H5714" s="5">
        <v>1</v>
      </c>
      <c r="I5714" s="6" t="s">
        <v>14762</v>
      </c>
      <c r="J5714" s="5">
        <v>460</v>
      </c>
    </row>
    <row r="5715" s="2" customFormat="1" spans="1:10">
      <c r="A5715" s="6">
        <f>5713</f>
        <v>5713</v>
      </c>
      <c r="B5715" s="6" t="s">
        <v>14763</v>
      </c>
      <c r="C5715" s="6" t="s">
        <v>12</v>
      </c>
      <c r="D5715" s="6" t="s">
        <v>14573</v>
      </c>
      <c r="E5715" s="6" t="s">
        <v>14758</v>
      </c>
      <c r="F5715" s="6" t="s">
        <v>14764</v>
      </c>
      <c r="G5715" s="6" t="s">
        <v>16</v>
      </c>
      <c r="H5715" s="5">
        <v>3</v>
      </c>
      <c r="I5715" s="6" t="s">
        <v>14765</v>
      </c>
      <c r="J5715" s="5">
        <v>550</v>
      </c>
    </row>
    <row r="5716" s="2" customFormat="1" spans="1:10">
      <c r="A5716" s="6">
        <f>5714</f>
        <v>5714</v>
      </c>
      <c r="B5716" s="6" t="s">
        <v>14766</v>
      </c>
      <c r="C5716" s="6" t="s">
        <v>12</v>
      </c>
      <c r="D5716" s="6" t="s">
        <v>14573</v>
      </c>
      <c r="E5716" s="6" t="s">
        <v>14758</v>
      </c>
      <c r="F5716" s="6" t="s">
        <v>14767</v>
      </c>
      <c r="G5716" s="6" t="s">
        <v>16</v>
      </c>
      <c r="H5716" s="5">
        <v>1</v>
      </c>
      <c r="I5716" s="6" t="s">
        <v>14767</v>
      </c>
      <c r="J5716" s="5">
        <v>540</v>
      </c>
    </row>
    <row r="5717" s="2" customFormat="1" ht="27" spans="1:10">
      <c r="A5717" s="6">
        <f>5715</f>
        <v>5715</v>
      </c>
      <c r="B5717" s="6" t="s">
        <v>14768</v>
      </c>
      <c r="C5717" s="6" t="s">
        <v>12</v>
      </c>
      <c r="D5717" s="6" t="s">
        <v>14573</v>
      </c>
      <c r="E5717" s="6" t="s">
        <v>14758</v>
      </c>
      <c r="F5717" s="6" t="s">
        <v>14769</v>
      </c>
      <c r="G5717" s="6" t="s">
        <v>16</v>
      </c>
      <c r="H5717" s="5">
        <v>6</v>
      </c>
      <c r="I5717" s="6" t="s">
        <v>14770</v>
      </c>
      <c r="J5717" s="5">
        <v>620</v>
      </c>
    </row>
    <row r="5718" s="2" customFormat="1" ht="27" spans="1:10">
      <c r="A5718" s="6">
        <f>5716</f>
        <v>5716</v>
      </c>
      <c r="B5718" s="6" t="s">
        <v>14771</v>
      </c>
      <c r="C5718" s="6" t="s">
        <v>12</v>
      </c>
      <c r="D5718" s="6" t="s">
        <v>14573</v>
      </c>
      <c r="E5718" s="6" t="s">
        <v>14758</v>
      </c>
      <c r="F5718" s="6" t="s">
        <v>14772</v>
      </c>
      <c r="G5718" s="6" t="s">
        <v>16</v>
      </c>
      <c r="H5718" s="5">
        <v>5</v>
      </c>
      <c r="I5718" s="6" t="s">
        <v>14773</v>
      </c>
      <c r="J5718" s="5">
        <v>600</v>
      </c>
    </row>
    <row r="5719" s="2" customFormat="1" spans="1:10">
      <c r="A5719" s="6">
        <f>5717</f>
        <v>5717</v>
      </c>
      <c r="B5719" s="6" t="s">
        <v>14774</v>
      </c>
      <c r="C5719" s="6" t="s">
        <v>12</v>
      </c>
      <c r="D5719" s="6" t="s">
        <v>14573</v>
      </c>
      <c r="E5719" s="6" t="s">
        <v>14758</v>
      </c>
      <c r="F5719" s="6" t="s">
        <v>14775</v>
      </c>
      <c r="G5719" s="6" t="s">
        <v>16</v>
      </c>
      <c r="H5719" s="5">
        <v>2</v>
      </c>
      <c r="I5719" s="6" t="s">
        <v>14776</v>
      </c>
      <c r="J5719" s="5">
        <v>824</v>
      </c>
    </row>
    <row r="5720" s="2" customFormat="1" ht="27" spans="1:10">
      <c r="A5720" s="6">
        <f>5718</f>
        <v>5718</v>
      </c>
      <c r="B5720" s="6" t="s">
        <v>14777</v>
      </c>
      <c r="C5720" s="6" t="s">
        <v>12</v>
      </c>
      <c r="D5720" s="6" t="s">
        <v>14573</v>
      </c>
      <c r="E5720" s="6" t="s">
        <v>14758</v>
      </c>
      <c r="F5720" s="6" t="s">
        <v>14778</v>
      </c>
      <c r="G5720" s="6" t="s">
        <v>16</v>
      </c>
      <c r="H5720" s="5">
        <v>4</v>
      </c>
      <c r="I5720" s="6" t="s">
        <v>14779</v>
      </c>
      <c r="J5720" s="5">
        <v>920</v>
      </c>
    </row>
    <row r="5721" s="2" customFormat="1" spans="1:10">
      <c r="A5721" s="6">
        <f>5719</f>
        <v>5719</v>
      </c>
      <c r="B5721" s="6" t="s">
        <v>14780</v>
      </c>
      <c r="C5721" s="6" t="s">
        <v>12</v>
      </c>
      <c r="D5721" s="6" t="s">
        <v>14573</v>
      </c>
      <c r="E5721" s="6" t="s">
        <v>14758</v>
      </c>
      <c r="F5721" s="6" t="s">
        <v>14781</v>
      </c>
      <c r="G5721" s="6" t="s">
        <v>16</v>
      </c>
      <c r="H5721" s="5">
        <v>2</v>
      </c>
      <c r="I5721" s="6" t="s">
        <v>14782</v>
      </c>
      <c r="J5721" s="5">
        <v>1080</v>
      </c>
    </row>
    <row r="5722" s="2" customFormat="1" spans="1:10">
      <c r="A5722" s="6">
        <f>5720</f>
        <v>5720</v>
      </c>
      <c r="B5722" s="6" t="s">
        <v>14783</v>
      </c>
      <c r="C5722" s="6" t="s">
        <v>12</v>
      </c>
      <c r="D5722" s="6" t="s">
        <v>14573</v>
      </c>
      <c r="E5722" s="6" t="s">
        <v>14758</v>
      </c>
      <c r="F5722" s="6" t="s">
        <v>14784</v>
      </c>
      <c r="G5722" s="6" t="s">
        <v>16</v>
      </c>
      <c r="H5722" s="5">
        <v>2</v>
      </c>
      <c r="I5722" s="6" t="s">
        <v>14785</v>
      </c>
      <c r="J5722" s="5">
        <v>460</v>
      </c>
    </row>
    <row r="5723" s="2" customFormat="1" spans="1:10">
      <c r="A5723" s="6">
        <f>5721</f>
        <v>5721</v>
      </c>
      <c r="B5723" s="6" t="s">
        <v>14786</v>
      </c>
      <c r="C5723" s="6" t="s">
        <v>12</v>
      </c>
      <c r="D5723" s="6" t="s">
        <v>14573</v>
      </c>
      <c r="E5723" s="6" t="s">
        <v>14758</v>
      </c>
      <c r="F5723" s="6" t="s">
        <v>14787</v>
      </c>
      <c r="G5723" s="6" t="s">
        <v>16</v>
      </c>
      <c r="H5723" s="5">
        <v>2</v>
      </c>
      <c r="I5723" s="6" t="s">
        <v>14788</v>
      </c>
      <c r="J5723" s="5">
        <v>660</v>
      </c>
    </row>
    <row r="5724" s="2" customFormat="1" spans="1:10">
      <c r="A5724" s="6">
        <f>5722</f>
        <v>5722</v>
      </c>
      <c r="B5724" s="6" t="s">
        <v>14789</v>
      </c>
      <c r="C5724" s="6" t="s">
        <v>12</v>
      </c>
      <c r="D5724" s="6" t="s">
        <v>14573</v>
      </c>
      <c r="E5724" s="6" t="s">
        <v>14758</v>
      </c>
      <c r="F5724" s="6" t="s">
        <v>14790</v>
      </c>
      <c r="G5724" s="6" t="s">
        <v>16</v>
      </c>
      <c r="H5724" s="5">
        <v>2</v>
      </c>
      <c r="I5724" s="6" t="s">
        <v>14791</v>
      </c>
      <c r="J5724" s="5">
        <v>900</v>
      </c>
    </row>
    <row r="5725" s="2" customFormat="1" spans="1:10">
      <c r="A5725" s="6">
        <f>5723</f>
        <v>5723</v>
      </c>
      <c r="B5725" s="6" t="s">
        <v>14792</v>
      </c>
      <c r="C5725" s="6" t="s">
        <v>12</v>
      </c>
      <c r="D5725" s="6" t="s">
        <v>14573</v>
      </c>
      <c r="E5725" s="6" t="s">
        <v>14758</v>
      </c>
      <c r="F5725" s="6" t="s">
        <v>14793</v>
      </c>
      <c r="G5725" s="6" t="s">
        <v>16</v>
      </c>
      <c r="H5725" s="5">
        <v>1</v>
      </c>
      <c r="I5725" s="6" t="s">
        <v>14793</v>
      </c>
      <c r="J5725" s="5">
        <v>420</v>
      </c>
    </row>
    <row r="5726" s="2" customFormat="1" spans="1:10">
      <c r="A5726" s="6">
        <f>5724</f>
        <v>5724</v>
      </c>
      <c r="B5726" s="6" t="s">
        <v>14794</v>
      </c>
      <c r="C5726" s="6" t="s">
        <v>12</v>
      </c>
      <c r="D5726" s="6" t="s">
        <v>14573</v>
      </c>
      <c r="E5726" s="6" t="s">
        <v>14758</v>
      </c>
      <c r="F5726" s="6" t="s">
        <v>14795</v>
      </c>
      <c r="G5726" s="6" t="s">
        <v>16</v>
      </c>
      <c r="H5726" s="5">
        <v>1</v>
      </c>
      <c r="I5726" s="6" t="s">
        <v>14795</v>
      </c>
      <c r="J5726" s="5">
        <v>330</v>
      </c>
    </row>
    <row r="5727" s="2" customFormat="1" spans="1:10">
      <c r="A5727" s="6">
        <f>5725</f>
        <v>5725</v>
      </c>
      <c r="B5727" s="6" t="s">
        <v>14796</v>
      </c>
      <c r="C5727" s="6" t="s">
        <v>12</v>
      </c>
      <c r="D5727" s="6" t="s">
        <v>14573</v>
      </c>
      <c r="E5727" s="6" t="s">
        <v>14758</v>
      </c>
      <c r="F5727" s="6" t="s">
        <v>14797</v>
      </c>
      <c r="G5727" s="6" t="s">
        <v>16</v>
      </c>
      <c r="H5727" s="5">
        <v>2</v>
      </c>
      <c r="I5727" s="6" t="s">
        <v>14798</v>
      </c>
      <c r="J5727" s="5">
        <v>486</v>
      </c>
    </row>
    <row r="5728" s="2" customFormat="1" spans="1:10">
      <c r="A5728" s="6">
        <f>5726</f>
        <v>5726</v>
      </c>
      <c r="B5728" s="6" t="s">
        <v>14799</v>
      </c>
      <c r="C5728" s="6" t="s">
        <v>12</v>
      </c>
      <c r="D5728" s="6" t="s">
        <v>14573</v>
      </c>
      <c r="E5728" s="6" t="s">
        <v>14758</v>
      </c>
      <c r="F5728" s="6" t="s">
        <v>14800</v>
      </c>
      <c r="G5728" s="6" t="s">
        <v>16</v>
      </c>
      <c r="H5728" s="5">
        <v>1</v>
      </c>
      <c r="I5728" s="6" t="s">
        <v>14800</v>
      </c>
      <c r="J5728" s="5">
        <v>243</v>
      </c>
    </row>
    <row r="5729" s="2" customFormat="1" spans="1:10">
      <c r="A5729" s="6">
        <f>5727</f>
        <v>5727</v>
      </c>
      <c r="B5729" s="6" t="s">
        <v>14801</v>
      </c>
      <c r="C5729" s="6" t="s">
        <v>12</v>
      </c>
      <c r="D5729" s="6" t="s">
        <v>14573</v>
      </c>
      <c r="E5729" s="6" t="s">
        <v>14758</v>
      </c>
      <c r="F5729" s="6" t="s">
        <v>14802</v>
      </c>
      <c r="G5729" s="6" t="s">
        <v>16</v>
      </c>
      <c r="H5729" s="5">
        <v>1</v>
      </c>
      <c r="I5729" s="6" t="s">
        <v>14802</v>
      </c>
      <c r="J5729" s="5">
        <v>260</v>
      </c>
    </row>
    <row r="5730" s="2" customFormat="1" ht="27" spans="1:10">
      <c r="A5730" s="6">
        <f>5728</f>
        <v>5728</v>
      </c>
      <c r="B5730" s="6" t="s">
        <v>14803</v>
      </c>
      <c r="C5730" s="6" t="s">
        <v>12</v>
      </c>
      <c r="D5730" s="6" t="s">
        <v>14573</v>
      </c>
      <c r="E5730" s="6" t="s">
        <v>14758</v>
      </c>
      <c r="F5730" s="6" t="s">
        <v>14804</v>
      </c>
      <c r="G5730" s="6" t="s">
        <v>16</v>
      </c>
      <c r="H5730" s="5">
        <v>4</v>
      </c>
      <c r="I5730" s="6" t="s">
        <v>14805</v>
      </c>
      <c r="J5730" s="5">
        <v>1461</v>
      </c>
    </row>
    <row r="5731" s="2" customFormat="1" spans="1:10">
      <c r="A5731" s="6">
        <f>5729</f>
        <v>5729</v>
      </c>
      <c r="B5731" s="6" t="s">
        <v>14806</v>
      </c>
      <c r="C5731" s="6" t="s">
        <v>12</v>
      </c>
      <c r="D5731" s="6" t="s">
        <v>14573</v>
      </c>
      <c r="E5731" s="6" t="s">
        <v>14758</v>
      </c>
      <c r="F5731" s="6" t="s">
        <v>14807</v>
      </c>
      <c r="G5731" s="6" t="s">
        <v>16</v>
      </c>
      <c r="H5731" s="5">
        <v>1</v>
      </c>
      <c r="I5731" s="6" t="s">
        <v>14807</v>
      </c>
      <c r="J5731" s="5">
        <v>400</v>
      </c>
    </row>
    <row r="5732" s="2" customFormat="1" ht="27" spans="1:10">
      <c r="A5732" s="6">
        <f>5730</f>
        <v>5730</v>
      </c>
      <c r="B5732" s="6" t="s">
        <v>14808</v>
      </c>
      <c r="C5732" s="6" t="s">
        <v>12</v>
      </c>
      <c r="D5732" s="6" t="s">
        <v>14573</v>
      </c>
      <c r="E5732" s="6" t="s">
        <v>14758</v>
      </c>
      <c r="F5732" s="6" t="s">
        <v>14809</v>
      </c>
      <c r="G5732" s="6" t="s">
        <v>16</v>
      </c>
      <c r="H5732" s="5">
        <v>4</v>
      </c>
      <c r="I5732" s="6" t="s">
        <v>14810</v>
      </c>
      <c r="J5732" s="5">
        <v>940</v>
      </c>
    </row>
    <row r="5733" s="2" customFormat="1" spans="1:10">
      <c r="A5733" s="6">
        <f>5731</f>
        <v>5731</v>
      </c>
      <c r="B5733" s="6" t="s">
        <v>14811</v>
      </c>
      <c r="C5733" s="6" t="s">
        <v>12</v>
      </c>
      <c r="D5733" s="6" t="s">
        <v>14573</v>
      </c>
      <c r="E5733" s="6" t="s">
        <v>14758</v>
      </c>
      <c r="F5733" s="6" t="s">
        <v>14812</v>
      </c>
      <c r="G5733" s="6" t="s">
        <v>16</v>
      </c>
      <c r="H5733" s="5">
        <v>1</v>
      </c>
      <c r="I5733" s="6" t="s">
        <v>14812</v>
      </c>
      <c r="J5733" s="5">
        <v>270</v>
      </c>
    </row>
    <row r="5734" s="2" customFormat="1" spans="1:10">
      <c r="A5734" s="6">
        <f>5732</f>
        <v>5732</v>
      </c>
      <c r="B5734" s="6" t="s">
        <v>14813</v>
      </c>
      <c r="C5734" s="6" t="s">
        <v>12</v>
      </c>
      <c r="D5734" s="6" t="s">
        <v>14573</v>
      </c>
      <c r="E5734" s="6" t="s">
        <v>14758</v>
      </c>
      <c r="F5734" s="6" t="s">
        <v>14814</v>
      </c>
      <c r="G5734" s="6" t="s">
        <v>16</v>
      </c>
      <c r="H5734" s="5">
        <v>1</v>
      </c>
      <c r="I5734" s="6" t="s">
        <v>14814</v>
      </c>
      <c r="J5734" s="5">
        <v>243</v>
      </c>
    </row>
    <row r="5735" s="2" customFormat="1" spans="1:10">
      <c r="A5735" s="6">
        <f>5733</f>
        <v>5733</v>
      </c>
      <c r="B5735" s="6" t="s">
        <v>14815</v>
      </c>
      <c r="C5735" s="6" t="s">
        <v>12</v>
      </c>
      <c r="D5735" s="6" t="s">
        <v>14573</v>
      </c>
      <c r="E5735" s="6" t="s">
        <v>14758</v>
      </c>
      <c r="F5735" s="6" t="s">
        <v>14816</v>
      </c>
      <c r="G5735" s="6" t="s">
        <v>16</v>
      </c>
      <c r="H5735" s="5">
        <v>1</v>
      </c>
      <c r="I5735" s="6" t="s">
        <v>14816</v>
      </c>
      <c r="J5735" s="5">
        <v>400</v>
      </c>
    </row>
    <row r="5736" s="2" customFormat="1" spans="1:10">
      <c r="A5736" s="6">
        <f>5734</f>
        <v>5734</v>
      </c>
      <c r="B5736" s="6" t="s">
        <v>14817</v>
      </c>
      <c r="C5736" s="6" t="s">
        <v>12</v>
      </c>
      <c r="D5736" s="6" t="s">
        <v>14573</v>
      </c>
      <c r="E5736" s="6" t="s">
        <v>14758</v>
      </c>
      <c r="F5736" s="6" t="s">
        <v>14818</v>
      </c>
      <c r="G5736" s="6" t="s">
        <v>16</v>
      </c>
      <c r="H5736" s="5">
        <v>3</v>
      </c>
      <c r="I5736" s="6" t="s">
        <v>14819</v>
      </c>
      <c r="J5736" s="5">
        <v>793</v>
      </c>
    </row>
    <row r="5737" s="2" customFormat="1" spans="1:10">
      <c r="A5737" s="6">
        <f>5735</f>
        <v>5735</v>
      </c>
      <c r="B5737" s="6" t="s">
        <v>14820</v>
      </c>
      <c r="C5737" s="6" t="s">
        <v>12</v>
      </c>
      <c r="D5737" s="6" t="s">
        <v>14573</v>
      </c>
      <c r="E5737" s="6" t="s">
        <v>14758</v>
      </c>
      <c r="F5737" s="6" t="s">
        <v>14821</v>
      </c>
      <c r="G5737" s="6" t="s">
        <v>16</v>
      </c>
      <c r="H5737" s="5">
        <v>1</v>
      </c>
      <c r="I5737" s="6" t="s">
        <v>14821</v>
      </c>
      <c r="J5737" s="5">
        <v>245</v>
      </c>
    </row>
    <row r="5738" s="2" customFormat="1" spans="1:10">
      <c r="A5738" s="6">
        <f>5736</f>
        <v>5736</v>
      </c>
      <c r="B5738" s="6" t="s">
        <v>14822</v>
      </c>
      <c r="C5738" s="6" t="s">
        <v>12</v>
      </c>
      <c r="D5738" s="6" t="s">
        <v>14573</v>
      </c>
      <c r="E5738" s="6" t="s">
        <v>14758</v>
      </c>
      <c r="F5738" s="6" t="s">
        <v>14823</v>
      </c>
      <c r="G5738" s="6" t="s">
        <v>16</v>
      </c>
      <c r="H5738" s="5">
        <v>1</v>
      </c>
      <c r="I5738" s="6" t="s">
        <v>14823</v>
      </c>
      <c r="J5738" s="5">
        <v>370</v>
      </c>
    </row>
    <row r="5739" s="2" customFormat="1" ht="27" spans="1:10">
      <c r="A5739" s="6">
        <f>5737</f>
        <v>5737</v>
      </c>
      <c r="B5739" s="6" t="s">
        <v>14824</v>
      </c>
      <c r="C5739" s="6" t="s">
        <v>12</v>
      </c>
      <c r="D5739" s="6" t="s">
        <v>14573</v>
      </c>
      <c r="E5739" s="6" t="s">
        <v>14758</v>
      </c>
      <c r="F5739" s="6" t="s">
        <v>14825</v>
      </c>
      <c r="G5739" s="6" t="s">
        <v>16</v>
      </c>
      <c r="H5739" s="5">
        <v>4</v>
      </c>
      <c r="I5739" s="6" t="s">
        <v>14826</v>
      </c>
      <c r="J5739" s="5">
        <v>450</v>
      </c>
    </row>
    <row r="5740" s="2" customFormat="1" spans="1:10">
      <c r="A5740" s="6">
        <f>5738</f>
        <v>5738</v>
      </c>
      <c r="B5740" s="6" t="s">
        <v>14827</v>
      </c>
      <c r="C5740" s="6" t="s">
        <v>12</v>
      </c>
      <c r="D5740" s="6" t="s">
        <v>14573</v>
      </c>
      <c r="E5740" s="6" t="s">
        <v>14758</v>
      </c>
      <c r="F5740" s="6" t="s">
        <v>14828</v>
      </c>
      <c r="G5740" s="6" t="s">
        <v>16</v>
      </c>
      <c r="H5740" s="5">
        <v>2</v>
      </c>
      <c r="I5740" s="6" t="s">
        <v>14829</v>
      </c>
      <c r="J5740" s="5">
        <v>675</v>
      </c>
    </row>
    <row r="5741" s="2" customFormat="1" spans="1:10">
      <c r="A5741" s="6">
        <f>5739</f>
        <v>5739</v>
      </c>
      <c r="B5741" s="6" t="s">
        <v>14830</v>
      </c>
      <c r="C5741" s="6" t="s">
        <v>12</v>
      </c>
      <c r="D5741" s="6" t="s">
        <v>14573</v>
      </c>
      <c r="E5741" s="6" t="s">
        <v>14758</v>
      </c>
      <c r="F5741" s="6" t="s">
        <v>12967</v>
      </c>
      <c r="G5741" s="6" t="s">
        <v>16</v>
      </c>
      <c r="H5741" s="5">
        <v>3</v>
      </c>
      <c r="I5741" s="6" t="s">
        <v>14831</v>
      </c>
      <c r="J5741" s="5">
        <v>390</v>
      </c>
    </row>
    <row r="5742" s="2" customFormat="1" spans="1:10">
      <c r="A5742" s="6">
        <f>5740</f>
        <v>5740</v>
      </c>
      <c r="B5742" s="6" t="s">
        <v>14832</v>
      </c>
      <c r="C5742" s="6" t="s">
        <v>12</v>
      </c>
      <c r="D5742" s="6" t="s">
        <v>14573</v>
      </c>
      <c r="E5742" s="6" t="s">
        <v>14758</v>
      </c>
      <c r="F5742" s="6" t="s">
        <v>14833</v>
      </c>
      <c r="G5742" s="6" t="s">
        <v>16</v>
      </c>
      <c r="H5742" s="5">
        <v>1</v>
      </c>
      <c r="I5742" s="6" t="s">
        <v>14833</v>
      </c>
      <c r="J5742" s="5">
        <v>270</v>
      </c>
    </row>
    <row r="5743" s="2" customFormat="1" spans="1:10">
      <c r="A5743" s="6">
        <f>5741</f>
        <v>5741</v>
      </c>
      <c r="B5743" s="6" t="s">
        <v>14834</v>
      </c>
      <c r="C5743" s="6" t="s">
        <v>12</v>
      </c>
      <c r="D5743" s="6" t="s">
        <v>14573</v>
      </c>
      <c r="E5743" s="6" t="s">
        <v>14758</v>
      </c>
      <c r="F5743" s="6" t="s">
        <v>14835</v>
      </c>
      <c r="G5743" s="6" t="s">
        <v>16</v>
      </c>
      <c r="H5743" s="5">
        <v>3</v>
      </c>
      <c r="I5743" s="6" t="s">
        <v>14836</v>
      </c>
      <c r="J5743" s="5">
        <v>470</v>
      </c>
    </row>
    <row r="5744" s="2" customFormat="1" spans="1:10">
      <c r="A5744" s="6">
        <f>5742</f>
        <v>5742</v>
      </c>
      <c r="B5744" s="6" t="s">
        <v>14837</v>
      </c>
      <c r="C5744" s="6" t="s">
        <v>12</v>
      </c>
      <c r="D5744" s="6" t="s">
        <v>14573</v>
      </c>
      <c r="E5744" s="6" t="s">
        <v>14758</v>
      </c>
      <c r="F5744" s="6" t="s">
        <v>14838</v>
      </c>
      <c r="G5744" s="6" t="s">
        <v>16</v>
      </c>
      <c r="H5744" s="5">
        <v>1</v>
      </c>
      <c r="I5744" s="6" t="s">
        <v>14838</v>
      </c>
      <c r="J5744" s="5">
        <v>243</v>
      </c>
    </row>
    <row r="5745" s="2" customFormat="1" spans="1:10">
      <c r="A5745" s="6">
        <f>5743</f>
        <v>5743</v>
      </c>
      <c r="B5745" s="6" t="s">
        <v>14839</v>
      </c>
      <c r="C5745" s="6" t="s">
        <v>12</v>
      </c>
      <c r="D5745" s="6" t="s">
        <v>14573</v>
      </c>
      <c r="E5745" s="6" t="s">
        <v>14758</v>
      </c>
      <c r="F5745" s="6" t="s">
        <v>14840</v>
      </c>
      <c r="G5745" s="6" t="s">
        <v>16</v>
      </c>
      <c r="H5745" s="5">
        <v>3</v>
      </c>
      <c r="I5745" s="6" t="s">
        <v>14841</v>
      </c>
      <c r="J5745" s="5">
        <v>940</v>
      </c>
    </row>
    <row r="5746" s="2" customFormat="1" spans="1:10">
      <c r="A5746" s="6">
        <f>5744</f>
        <v>5744</v>
      </c>
      <c r="B5746" s="6" t="s">
        <v>14842</v>
      </c>
      <c r="C5746" s="6" t="s">
        <v>12</v>
      </c>
      <c r="D5746" s="6" t="s">
        <v>14573</v>
      </c>
      <c r="E5746" s="6" t="s">
        <v>14758</v>
      </c>
      <c r="F5746" s="6" t="s">
        <v>14843</v>
      </c>
      <c r="G5746" s="6" t="s">
        <v>16</v>
      </c>
      <c r="H5746" s="5">
        <v>3</v>
      </c>
      <c r="I5746" s="6" t="s">
        <v>14844</v>
      </c>
      <c r="J5746" s="5">
        <v>691</v>
      </c>
    </row>
    <row r="5747" s="2" customFormat="1" spans="1:10">
      <c r="A5747" s="6">
        <f>5745</f>
        <v>5745</v>
      </c>
      <c r="B5747" s="6" t="s">
        <v>14845</v>
      </c>
      <c r="C5747" s="6" t="s">
        <v>12</v>
      </c>
      <c r="D5747" s="6" t="s">
        <v>14573</v>
      </c>
      <c r="E5747" s="6" t="s">
        <v>14758</v>
      </c>
      <c r="F5747" s="6" t="s">
        <v>14846</v>
      </c>
      <c r="G5747" s="6" t="s">
        <v>16</v>
      </c>
      <c r="H5747" s="5">
        <v>2</v>
      </c>
      <c r="I5747" s="6" t="s">
        <v>14847</v>
      </c>
      <c r="J5747" s="5">
        <v>680</v>
      </c>
    </row>
    <row r="5748" s="2" customFormat="1" ht="27" spans="1:10">
      <c r="A5748" s="6">
        <f>5746</f>
        <v>5746</v>
      </c>
      <c r="B5748" s="6" t="s">
        <v>14848</v>
      </c>
      <c r="C5748" s="6" t="s">
        <v>12</v>
      </c>
      <c r="D5748" s="6" t="s">
        <v>14573</v>
      </c>
      <c r="E5748" s="6" t="s">
        <v>14758</v>
      </c>
      <c r="F5748" s="6" t="s">
        <v>14849</v>
      </c>
      <c r="G5748" s="6" t="s">
        <v>16</v>
      </c>
      <c r="H5748" s="5">
        <v>4</v>
      </c>
      <c r="I5748" s="6" t="s">
        <v>14850</v>
      </c>
      <c r="J5748" s="5">
        <v>760</v>
      </c>
    </row>
    <row r="5749" s="2" customFormat="1" ht="27" spans="1:10">
      <c r="A5749" s="6">
        <f>5747</f>
        <v>5747</v>
      </c>
      <c r="B5749" s="6" t="s">
        <v>14851</v>
      </c>
      <c r="C5749" s="6" t="s">
        <v>12</v>
      </c>
      <c r="D5749" s="6" t="s">
        <v>14573</v>
      </c>
      <c r="E5749" s="6" t="s">
        <v>14758</v>
      </c>
      <c r="F5749" s="6" t="s">
        <v>14852</v>
      </c>
      <c r="G5749" s="6" t="s">
        <v>16</v>
      </c>
      <c r="H5749" s="5">
        <v>4</v>
      </c>
      <c r="I5749" s="6" t="s">
        <v>14853</v>
      </c>
      <c r="J5749" s="5">
        <v>1328</v>
      </c>
    </row>
    <row r="5750" s="2" customFormat="1" spans="1:10">
      <c r="A5750" s="6">
        <f>5748</f>
        <v>5748</v>
      </c>
      <c r="B5750" s="6" t="s">
        <v>14854</v>
      </c>
      <c r="C5750" s="6" t="s">
        <v>12</v>
      </c>
      <c r="D5750" s="6" t="s">
        <v>14573</v>
      </c>
      <c r="E5750" s="6" t="s">
        <v>14758</v>
      </c>
      <c r="F5750" s="6" t="s">
        <v>14855</v>
      </c>
      <c r="G5750" s="6" t="s">
        <v>16</v>
      </c>
      <c r="H5750" s="5">
        <v>1</v>
      </c>
      <c r="I5750" s="6" t="s">
        <v>14855</v>
      </c>
      <c r="J5750" s="5">
        <v>270</v>
      </c>
    </row>
    <row r="5751" s="2" customFormat="1" spans="1:10">
      <c r="A5751" s="6">
        <f>5749</f>
        <v>5749</v>
      </c>
      <c r="B5751" s="6" t="s">
        <v>14856</v>
      </c>
      <c r="C5751" s="6" t="s">
        <v>12</v>
      </c>
      <c r="D5751" s="6" t="s">
        <v>14573</v>
      </c>
      <c r="E5751" s="6" t="s">
        <v>14758</v>
      </c>
      <c r="F5751" s="6" t="s">
        <v>14857</v>
      </c>
      <c r="G5751" s="6" t="s">
        <v>16</v>
      </c>
      <c r="H5751" s="5">
        <v>1</v>
      </c>
      <c r="I5751" s="6" t="s">
        <v>14857</v>
      </c>
      <c r="J5751" s="5">
        <v>400</v>
      </c>
    </row>
    <row r="5752" s="2" customFormat="1" ht="27" spans="1:10">
      <c r="A5752" s="6">
        <f>5750</f>
        <v>5750</v>
      </c>
      <c r="B5752" s="6" t="s">
        <v>14858</v>
      </c>
      <c r="C5752" s="6" t="s">
        <v>12</v>
      </c>
      <c r="D5752" s="6" t="s">
        <v>14573</v>
      </c>
      <c r="E5752" s="6" t="s">
        <v>14758</v>
      </c>
      <c r="F5752" s="6" t="s">
        <v>14859</v>
      </c>
      <c r="G5752" s="6" t="s">
        <v>16</v>
      </c>
      <c r="H5752" s="5">
        <v>4</v>
      </c>
      <c r="I5752" s="6" t="s">
        <v>14860</v>
      </c>
      <c r="J5752" s="5">
        <v>423</v>
      </c>
    </row>
    <row r="5753" s="2" customFormat="1" spans="1:10">
      <c r="A5753" s="6">
        <f>5751</f>
        <v>5751</v>
      </c>
      <c r="B5753" s="6" t="s">
        <v>14861</v>
      </c>
      <c r="C5753" s="6" t="s">
        <v>12</v>
      </c>
      <c r="D5753" s="6" t="s">
        <v>14573</v>
      </c>
      <c r="E5753" s="6" t="s">
        <v>14758</v>
      </c>
      <c r="F5753" s="6" t="s">
        <v>14862</v>
      </c>
      <c r="G5753" s="6" t="s">
        <v>16</v>
      </c>
      <c r="H5753" s="5">
        <v>2</v>
      </c>
      <c r="I5753" s="6" t="s">
        <v>14863</v>
      </c>
      <c r="J5753" s="5">
        <v>745</v>
      </c>
    </row>
    <row r="5754" s="2" customFormat="1" spans="1:10">
      <c r="A5754" s="6">
        <f>5752</f>
        <v>5752</v>
      </c>
      <c r="B5754" s="6" t="s">
        <v>14864</v>
      </c>
      <c r="C5754" s="6" t="s">
        <v>12</v>
      </c>
      <c r="D5754" s="6" t="s">
        <v>14573</v>
      </c>
      <c r="E5754" s="6" t="s">
        <v>14758</v>
      </c>
      <c r="F5754" s="6" t="s">
        <v>14865</v>
      </c>
      <c r="G5754" s="6" t="s">
        <v>16</v>
      </c>
      <c r="H5754" s="5">
        <v>1</v>
      </c>
      <c r="I5754" s="6" t="s">
        <v>14865</v>
      </c>
      <c r="J5754" s="5">
        <v>368</v>
      </c>
    </row>
    <row r="5755" s="2" customFormat="1" spans="1:10">
      <c r="A5755" s="6">
        <f>5753</f>
        <v>5753</v>
      </c>
      <c r="B5755" s="6" t="s">
        <v>14866</v>
      </c>
      <c r="C5755" s="6" t="s">
        <v>12</v>
      </c>
      <c r="D5755" s="6" t="s">
        <v>14573</v>
      </c>
      <c r="E5755" s="6" t="s">
        <v>14758</v>
      </c>
      <c r="F5755" s="6" t="s">
        <v>14867</v>
      </c>
      <c r="G5755" s="6" t="s">
        <v>16</v>
      </c>
      <c r="H5755" s="5">
        <v>1</v>
      </c>
      <c r="I5755" s="6" t="s">
        <v>14867</v>
      </c>
      <c r="J5755" s="5">
        <v>410</v>
      </c>
    </row>
    <row r="5756" s="2" customFormat="1" spans="1:10">
      <c r="A5756" s="6">
        <f>5754</f>
        <v>5754</v>
      </c>
      <c r="B5756" s="6" t="s">
        <v>14868</v>
      </c>
      <c r="C5756" s="6" t="s">
        <v>12</v>
      </c>
      <c r="D5756" s="6" t="s">
        <v>14573</v>
      </c>
      <c r="E5756" s="6" t="s">
        <v>14758</v>
      </c>
      <c r="F5756" s="6" t="s">
        <v>14869</v>
      </c>
      <c r="G5756" s="6" t="s">
        <v>16</v>
      </c>
      <c r="H5756" s="5">
        <v>1</v>
      </c>
      <c r="I5756" s="6" t="s">
        <v>14869</v>
      </c>
      <c r="J5756" s="5">
        <v>620</v>
      </c>
    </row>
    <row r="5757" s="2" customFormat="1" ht="27" spans="1:10">
      <c r="A5757" s="6">
        <f>5755</f>
        <v>5755</v>
      </c>
      <c r="B5757" s="6" t="s">
        <v>14870</v>
      </c>
      <c r="C5757" s="6" t="s">
        <v>12</v>
      </c>
      <c r="D5757" s="6" t="s">
        <v>14573</v>
      </c>
      <c r="E5757" s="6" t="s">
        <v>14758</v>
      </c>
      <c r="F5757" s="6" t="s">
        <v>14871</v>
      </c>
      <c r="G5757" s="6" t="s">
        <v>16</v>
      </c>
      <c r="H5757" s="5">
        <v>4</v>
      </c>
      <c r="I5757" s="6" t="s">
        <v>14872</v>
      </c>
      <c r="J5757" s="5">
        <v>800</v>
      </c>
    </row>
    <row r="5758" s="2" customFormat="1" spans="1:10">
      <c r="A5758" s="6">
        <f>5756</f>
        <v>5756</v>
      </c>
      <c r="B5758" s="6" t="s">
        <v>14873</v>
      </c>
      <c r="C5758" s="6" t="s">
        <v>12</v>
      </c>
      <c r="D5758" s="6" t="s">
        <v>14573</v>
      </c>
      <c r="E5758" s="6" t="s">
        <v>14758</v>
      </c>
      <c r="F5758" s="6" t="s">
        <v>14874</v>
      </c>
      <c r="G5758" s="6" t="s">
        <v>16</v>
      </c>
      <c r="H5758" s="5">
        <v>1</v>
      </c>
      <c r="I5758" s="6" t="s">
        <v>14874</v>
      </c>
      <c r="J5758" s="5">
        <v>361</v>
      </c>
    </row>
    <row r="5759" s="2" customFormat="1" spans="1:10">
      <c r="A5759" s="6">
        <f>5757</f>
        <v>5757</v>
      </c>
      <c r="B5759" s="6" t="s">
        <v>14875</v>
      </c>
      <c r="C5759" s="6" t="s">
        <v>12</v>
      </c>
      <c r="D5759" s="6" t="s">
        <v>14573</v>
      </c>
      <c r="E5759" s="6" t="s">
        <v>14758</v>
      </c>
      <c r="F5759" s="6" t="s">
        <v>14876</v>
      </c>
      <c r="G5759" s="6" t="s">
        <v>16</v>
      </c>
      <c r="H5759" s="5">
        <v>1</v>
      </c>
      <c r="I5759" s="6" t="s">
        <v>14876</v>
      </c>
      <c r="J5759" s="5">
        <v>250</v>
      </c>
    </row>
    <row r="5760" s="2" customFormat="1" ht="27" spans="1:10">
      <c r="A5760" s="6">
        <f>5758</f>
        <v>5758</v>
      </c>
      <c r="B5760" s="6" t="s">
        <v>14877</v>
      </c>
      <c r="C5760" s="6" t="s">
        <v>12</v>
      </c>
      <c r="D5760" s="6" t="s">
        <v>14573</v>
      </c>
      <c r="E5760" s="6" t="s">
        <v>14758</v>
      </c>
      <c r="F5760" s="6" t="s">
        <v>14878</v>
      </c>
      <c r="G5760" s="6" t="s">
        <v>16</v>
      </c>
      <c r="H5760" s="5">
        <v>5</v>
      </c>
      <c r="I5760" s="6" t="s">
        <v>14879</v>
      </c>
      <c r="J5760" s="5">
        <v>510</v>
      </c>
    </row>
    <row r="5761" s="2" customFormat="1" spans="1:10">
      <c r="A5761" s="6">
        <f>5759</f>
        <v>5759</v>
      </c>
      <c r="B5761" s="6" t="s">
        <v>14880</v>
      </c>
      <c r="C5761" s="6" t="s">
        <v>12</v>
      </c>
      <c r="D5761" s="6" t="s">
        <v>14573</v>
      </c>
      <c r="E5761" s="6" t="s">
        <v>14758</v>
      </c>
      <c r="F5761" s="6" t="s">
        <v>14881</v>
      </c>
      <c r="G5761" s="6" t="s">
        <v>16</v>
      </c>
      <c r="H5761" s="5">
        <v>1</v>
      </c>
      <c r="I5761" s="6" t="s">
        <v>14881</v>
      </c>
      <c r="J5761" s="5">
        <v>270</v>
      </c>
    </row>
    <row r="5762" s="2" customFormat="1" spans="1:10">
      <c r="A5762" s="6">
        <f>5760</f>
        <v>5760</v>
      </c>
      <c r="B5762" s="6" t="s">
        <v>14882</v>
      </c>
      <c r="C5762" s="6" t="s">
        <v>12</v>
      </c>
      <c r="D5762" s="6" t="s">
        <v>14573</v>
      </c>
      <c r="E5762" s="6" t="s">
        <v>14758</v>
      </c>
      <c r="F5762" s="6" t="s">
        <v>14883</v>
      </c>
      <c r="G5762" s="6" t="s">
        <v>16</v>
      </c>
      <c r="H5762" s="5">
        <v>1</v>
      </c>
      <c r="I5762" s="6" t="s">
        <v>14883</v>
      </c>
      <c r="J5762" s="5">
        <v>243</v>
      </c>
    </row>
    <row r="5763" s="2" customFormat="1" spans="1:10">
      <c r="A5763" s="6">
        <f>5761</f>
        <v>5761</v>
      </c>
      <c r="B5763" s="6" t="s">
        <v>14884</v>
      </c>
      <c r="C5763" s="6" t="s">
        <v>12</v>
      </c>
      <c r="D5763" s="6" t="s">
        <v>14573</v>
      </c>
      <c r="E5763" s="6" t="s">
        <v>14758</v>
      </c>
      <c r="F5763" s="6" t="s">
        <v>14885</v>
      </c>
      <c r="G5763" s="6" t="s">
        <v>16</v>
      </c>
      <c r="H5763" s="5">
        <v>3</v>
      </c>
      <c r="I5763" s="6" t="s">
        <v>14886</v>
      </c>
      <c r="J5763" s="5">
        <v>520</v>
      </c>
    </row>
    <row r="5764" s="2" customFormat="1" spans="1:10">
      <c r="A5764" s="6">
        <f>5762</f>
        <v>5762</v>
      </c>
      <c r="B5764" s="6" t="s">
        <v>14887</v>
      </c>
      <c r="C5764" s="6" t="s">
        <v>12</v>
      </c>
      <c r="D5764" s="6" t="s">
        <v>14573</v>
      </c>
      <c r="E5764" s="6" t="s">
        <v>14758</v>
      </c>
      <c r="F5764" s="6" t="s">
        <v>14888</v>
      </c>
      <c r="G5764" s="6" t="s">
        <v>16</v>
      </c>
      <c r="H5764" s="5">
        <v>2</v>
      </c>
      <c r="I5764" s="6" t="s">
        <v>14889</v>
      </c>
      <c r="J5764" s="5">
        <v>590</v>
      </c>
    </row>
    <row r="5765" s="2" customFormat="1" spans="1:10">
      <c r="A5765" s="6">
        <f>5763</f>
        <v>5763</v>
      </c>
      <c r="B5765" s="6" t="s">
        <v>14890</v>
      </c>
      <c r="C5765" s="6" t="s">
        <v>12</v>
      </c>
      <c r="D5765" s="6" t="s">
        <v>14573</v>
      </c>
      <c r="E5765" s="6" t="s">
        <v>14758</v>
      </c>
      <c r="F5765" s="6" t="s">
        <v>14891</v>
      </c>
      <c r="G5765" s="6" t="s">
        <v>16</v>
      </c>
      <c r="H5765" s="5">
        <v>1</v>
      </c>
      <c r="I5765" s="6" t="s">
        <v>14891</v>
      </c>
      <c r="J5765" s="5">
        <v>270</v>
      </c>
    </row>
    <row r="5766" s="2" customFormat="1" spans="1:10">
      <c r="A5766" s="6">
        <f>5764</f>
        <v>5764</v>
      </c>
      <c r="B5766" s="6" t="s">
        <v>14892</v>
      </c>
      <c r="C5766" s="6" t="s">
        <v>12</v>
      </c>
      <c r="D5766" s="6" t="s">
        <v>14573</v>
      </c>
      <c r="E5766" s="6" t="s">
        <v>14758</v>
      </c>
      <c r="F5766" s="6" t="s">
        <v>14893</v>
      </c>
      <c r="G5766" s="6" t="s">
        <v>16</v>
      </c>
      <c r="H5766" s="5">
        <v>1</v>
      </c>
      <c r="I5766" s="6" t="s">
        <v>14893</v>
      </c>
      <c r="J5766" s="5">
        <v>270</v>
      </c>
    </row>
    <row r="5767" s="2" customFormat="1" ht="27" spans="1:10">
      <c r="A5767" s="6">
        <f>5765</f>
        <v>5765</v>
      </c>
      <c r="B5767" s="6" t="s">
        <v>14894</v>
      </c>
      <c r="C5767" s="6" t="s">
        <v>12</v>
      </c>
      <c r="D5767" s="6" t="s">
        <v>14573</v>
      </c>
      <c r="E5767" s="6" t="s">
        <v>14758</v>
      </c>
      <c r="F5767" s="6" t="s">
        <v>14895</v>
      </c>
      <c r="G5767" s="6" t="s">
        <v>16</v>
      </c>
      <c r="H5767" s="5">
        <v>4</v>
      </c>
      <c r="I5767" s="6" t="s">
        <v>14896</v>
      </c>
      <c r="J5767" s="5">
        <v>660</v>
      </c>
    </row>
    <row r="5768" s="2" customFormat="1" spans="1:10">
      <c r="A5768" s="6">
        <f>5766</f>
        <v>5766</v>
      </c>
      <c r="B5768" s="6" t="s">
        <v>14897</v>
      </c>
      <c r="C5768" s="6" t="s">
        <v>12</v>
      </c>
      <c r="D5768" s="6" t="s">
        <v>14573</v>
      </c>
      <c r="E5768" s="6" t="s">
        <v>14758</v>
      </c>
      <c r="F5768" s="6" t="s">
        <v>14898</v>
      </c>
      <c r="G5768" s="6" t="s">
        <v>16</v>
      </c>
      <c r="H5768" s="5">
        <v>3</v>
      </c>
      <c r="I5768" s="6" t="s">
        <v>14899</v>
      </c>
      <c r="J5768" s="5">
        <v>738</v>
      </c>
    </row>
    <row r="5769" s="2" customFormat="1" spans="1:10">
      <c r="A5769" s="6">
        <f>5767</f>
        <v>5767</v>
      </c>
      <c r="B5769" s="6" t="s">
        <v>14900</v>
      </c>
      <c r="C5769" s="6" t="s">
        <v>12</v>
      </c>
      <c r="D5769" s="6" t="s">
        <v>14573</v>
      </c>
      <c r="E5769" s="6" t="s">
        <v>14758</v>
      </c>
      <c r="F5769" s="6" t="s">
        <v>14901</v>
      </c>
      <c r="G5769" s="6" t="s">
        <v>16</v>
      </c>
      <c r="H5769" s="5">
        <v>3</v>
      </c>
      <c r="I5769" s="6" t="s">
        <v>14902</v>
      </c>
      <c r="J5769" s="5">
        <v>626</v>
      </c>
    </row>
    <row r="5770" s="2" customFormat="1" spans="1:10">
      <c r="A5770" s="6">
        <f>5768</f>
        <v>5768</v>
      </c>
      <c r="B5770" s="6" t="s">
        <v>14903</v>
      </c>
      <c r="C5770" s="6" t="s">
        <v>12</v>
      </c>
      <c r="D5770" s="6" t="s">
        <v>14573</v>
      </c>
      <c r="E5770" s="6" t="s">
        <v>14758</v>
      </c>
      <c r="F5770" s="6" t="s">
        <v>14904</v>
      </c>
      <c r="G5770" s="6" t="s">
        <v>16</v>
      </c>
      <c r="H5770" s="5">
        <v>3</v>
      </c>
      <c r="I5770" s="6" t="s">
        <v>14905</v>
      </c>
      <c r="J5770" s="5">
        <v>1000</v>
      </c>
    </row>
    <row r="5771" s="2" customFormat="1" spans="1:10">
      <c r="A5771" s="6">
        <f>5769</f>
        <v>5769</v>
      </c>
      <c r="B5771" s="6" t="s">
        <v>14906</v>
      </c>
      <c r="C5771" s="6" t="s">
        <v>12</v>
      </c>
      <c r="D5771" s="6" t="s">
        <v>14573</v>
      </c>
      <c r="E5771" s="6" t="s">
        <v>14758</v>
      </c>
      <c r="F5771" s="6" t="s">
        <v>14907</v>
      </c>
      <c r="G5771" s="6" t="s">
        <v>16</v>
      </c>
      <c r="H5771" s="5">
        <v>1</v>
      </c>
      <c r="I5771" s="6" t="s">
        <v>14907</v>
      </c>
      <c r="J5771" s="5">
        <v>270</v>
      </c>
    </row>
    <row r="5772" s="2" customFormat="1" spans="1:10">
      <c r="A5772" s="6">
        <f>5770</f>
        <v>5770</v>
      </c>
      <c r="B5772" s="6" t="s">
        <v>14908</v>
      </c>
      <c r="C5772" s="6" t="s">
        <v>12</v>
      </c>
      <c r="D5772" s="6" t="s">
        <v>14573</v>
      </c>
      <c r="E5772" s="6" t="s">
        <v>14758</v>
      </c>
      <c r="F5772" s="6" t="s">
        <v>14909</v>
      </c>
      <c r="G5772" s="6" t="s">
        <v>16</v>
      </c>
      <c r="H5772" s="5">
        <v>1</v>
      </c>
      <c r="I5772" s="6" t="s">
        <v>14909</v>
      </c>
      <c r="J5772" s="5">
        <v>410</v>
      </c>
    </row>
    <row r="5773" s="2" customFormat="1" spans="1:10">
      <c r="A5773" s="6">
        <f>5771</f>
        <v>5771</v>
      </c>
      <c r="B5773" s="6" t="s">
        <v>14910</v>
      </c>
      <c r="C5773" s="6" t="s">
        <v>12</v>
      </c>
      <c r="D5773" s="6" t="s">
        <v>14573</v>
      </c>
      <c r="E5773" s="6" t="s">
        <v>14758</v>
      </c>
      <c r="F5773" s="6" t="s">
        <v>14911</v>
      </c>
      <c r="G5773" s="6" t="s">
        <v>16</v>
      </c>
      <c r="H5773" s="5">
        <v>1</v>
      </c>
      <c r="I5773" s="6" t="s">
        <v>14911</v>
      </c>
      <c r="J5773" s="5">
        <v>270</v>
      </c>
    </row>
    <row r="5774" s="2" customFormat="1" spans="1:10">
      <c r="A5774" s="6">
        <f>5772</f>
        <v>5772</v>
      </c>
      <c r="B5774" s="6" t="s">
        <v>14912</v>
      </c>
      <c r="C5774" s="6" t="s">
        <v>12</v>
      </c>
      <c r="D5774" s="6" t="s">
        <v>14573</v>
      </c>
      <c r="E5774" s="6" t="s">
        <v>14758</v>
      </c>
      <c r="F5774" s="6" t="s">
        <v>14913</v>
      </c>
      <c r="G5774" s="6" t="s">
        <v>16</v>
      </c>
      <c r="H5774" s="5">
        <v>1</v>
      </c>
      <c r="I5774" s="6" t="s">
        <v>14913</v>
      </c>
      <c r="J5774" s="5">
        <v>520</v>
      </c>
    </row>
    <row r="5775" s="2" customFormat="1" ht="27" spans="1:10">
      <c r="A5775" s="6">
        <f>5773</f>
        <v>5773</v>
      </c>
      <c r="B5775" s="6" t="s">
        <v>14914</v>
      </c>
      <c r="C5775" s="6" t="s">
        <v>12</v>
      </c>
      <c r="D5775" s="6" t="s">
        <v>14573</v>
      </c>
      <c r="E5775" s="6" t="s">
        <v>14758</v>
      </c>
      <c r="F5775" s="6" t="s">
        <v>14915</v>
      </c>
      <c r="G5775" s="6" t="s">
        <v>16</v>
      </c>
      <c r="H5775" s="5">
        <v>5</v>
      </c>
      <c r="I5775" s="6" t="s">
        <v>14916</v>
      </c>
      <c r="J5775" s="5">
        <v>870</v>
      </c>
    </row>
    <row r="5776" s="2" customFormat="1" ht="27" spans="1:10">
      <c r="A5776" s="6">
        <f>5774</f>
        <v>5774</v>
      </c>
      <c r="B5776" s="6" t="s">
        <v>14917</v>
      </c>
      <c r="C5776" s="6" t="s">
        <v>12</v>
      </c>
      <c r="D5776" s="6" t="s">
        <v>14573</v>
      </c>
      <c r="E5776" s="6" t="s">
        <v>14758</v>
      </c>
      <c r="F5776" s="6" t="s">
        <v>14918</v>
      </c>
      <c r="G5776" s="6" t="s">
        <v>16</v>
      </c>
      <c r="H5776" s="5">
        <v>5</v>
      </c>
      <c r="I5776" s="6" t="s">
        <v>14919</v>
      </c>
      <c r="J5776" s="5">
        <v>540</v>
      </c>
    </row>
    <row r="5777" s="2" customFormat="1" spans="1:10">
      <c r="A5777" s="6">
        <f>5775</f>
        <v>5775</v>
      </c>
      <c r="B5777" s="6" t="s">
        <v>14920</v>
      </c>
      <c r="C5777" s="6" t="s">
        <v>12</v>
      </c>
      <c r="D5777" s="6" t="s">
        <v>14573</v>
      </c>
      <c r="E5777" s="6" t="s">
        <v>14758</v>
      </c>
      <c r="F5777" s="6" t="s">
        <v>14921</v>
      </c>
      <c r="G5777" s="6" t="s">
        <v>16</v>
      </c>
      <c r="H5777" s="5">
        <v>3</v>
      </c>
      <c r="I5777" s="6" t="s">
        <v>14922</v>
      </c>
      <c r="J5777" s="5">
        <v>300</v>
      </c>
    </row>
    <row r="5778" s="2" customFormat="1" spans="1:10">
      <c r="A5778" s="6">
        <f>5776</f>
        <v>5776</v>
      </c>
      <c r="B5778" s="6" t="s">
        <v>14923</v>
      </c>
      <c r="C5778" s="6" t="s">
        <v>12</v>
      </c>
      <c r="D5778" s="6" t="s">
        <v>14573</v>
      </c>
      <c r="E5778" s="6" t="s">
        <v>14758</v>
      </c>
      <c r="F5778" s="6" t="s">
        <v>14924</v>
      </c>
      <c r="G5778" s="6" t="s">
        <v>16</v>
      </c>
      <c r="H5778" s="5">
        <v>1</v>
      </c>
      <c r="I5778" s="6" t="s">
        <v>14924</v>
      </c>
      <c r="J5778" s="5">
        <v>500</v>
      </c>
    </row>
    <row r="5779" s="2" customFormat="1" ht="27" spans="1:10">
      <c r="A5779" s="6">
        <f>5777</f>
        <v>5777</v>
      </c>
      <c r="B5779" s="6" t="s">
        <v>14925</v>
      </c>
      <c r="C5779" s="6" t="s">
        <v>12</v>
      </c>
      <c r="D5779" s="6" t="s">
        <v>14573</v>
      </c>
      <c r="E5779" s="6" t="s">
        <v>14758</v>
      </c>
      <c r="F5779" s="6" t="s">
        <v>14926</v>
      </c>
      <c r="G5779" s="6" t="s">
        <v>16</v>
      </c>
      <c r="H5779" s="5">
        <v>4</v>
      </c>
      <c r="I5779" s="6" t="s">
        <v>14927</v>
      </c>
      <c r="J5779" s="5">
        <v>943</v>
      </c>
    </row>
    <row r="5780" s="2" customFormat="1" ht="27" spans="1:10">
      <c r="A5780" s="6">
        <f>5778</f>
        <v>5778</v>
      </c>
      <c r="B5780" s="6" t="s">
        <v>14928</v>
      </c>
      <c r="C5780" s="6" t="s">
        <v>12</v>
      </c>
      <c r="D5780" s="6" t="s">
        <v>14573</v>
      </c>
      <c r="E5780" s="6" t="s">
        <v>14758</v>
      </c>
      <c r="F5780" s="6" t="s">
        <v>7586</v>
      </c>
      <c r="G5780" s="6" t="s">
        <v>16</v>
      </c>
      <c r="H5780" s="5">
        <v>4</v>
      </c>
      <c r="I5780" s="6" t="s">
        <v>14929</v>
      </c>
      <c r="J5780" s="5">
        <v>440</v>
      </c>
    </row>
    <row r="5781" s="2" customFormat="1" ht="27" spans="1:10">
      <c r="A5781" s="6">
        <f>5779</f>
        <v>5779</v>
      </c>
      <c r="B5781" s="6" t="s">
        <v>14930</v>
      </c>
      <c r="C5781" s="6" t="s">
        <v>12</v>
      </c>
      <c r="D5781" s="6" t="s">
        <v>14573</v>
      </c>
      <c r="E5781" s="6" t="s">
        <v>14758</v>
      </c>
      <c r="F5781" s="6" t="s">
        <v>14931</v>
      </c>
      <c r="G5781" s="6" t="s">
        <v>16</v>
      </c>
      <c r="H5781" s="5">
        <v>5</v>
      </c>
      <c r="I5781" s="6" t="s">
        <v>14932</v>
      </c>
      <c r="J5781" s="5">
        <v>640</v>
      </c>
    </row>
    <row r="5782" s="2" customFormat="1" spans="1:10">
      <c r="A5782" s="6">
        <f>5780</f>
        <v>5780</v>
      </c>
      <c r="B5782" s="6" t="s">
        <v>14933</v>
      </c>
      <c r="C5782" s="6" t="s">
        <v>12</v>
      </c>
      <c r="D5782" s="6" t="s">
        <v>14573</v>
      </c>
      <c r="E5782" s="6" t="s">
        <v>14758</v>
      </c>
      <c r="F5782" s="6" t="s">
        <v>14934</v>
      </c>
      <c r="G5782" s="6" t="s">
        <v>16</v>
      </c>
      <c r="H5782" s="5">
        <v>1</v>
      </c>
      <c r="I5782" s="6" t="s">
        <v>14934</v>
      </c>
      <c r="J5782" s="5">
        <v>243</v>
      </c>
    </row>
    <row r="5783" s="2" customFormat="1" spans="1:10">
      <c r="A5783" s="6">
        <f>5781</f>
        <v>5781</v>
      </c>
      <c r="B5783" s="6" t="s">
        <v>14935</v>
      </c>
      <c r="C5783" s="6" t="s">
        <v>12</v>
      </c>
      <c r="D5783" s="6" t="s">
        <v>14573</v>
      </c>
      <c r="E5783" s="6" t="s">
        <v>14758</v>
      </c>
      <c r="F5783" s="6" t="s">
        <v>14936</v>
      </c>
      <c r="G5783" s="6" t="s">
        <v>16</v>
      </c>
      <c r="H5783" s="5">
        <v>2</v>
      </c>
      <c r="I5783" s="6" t="s">
        <v>14937</v>
      </c>
      <c r="J5783" s="5">
        <v>456</v>
      </c>
    </row>
    <row r="5784" s="2" customFormat="1" spans="1:10">
      <c r="A5784" s="6">
        <f>5782</f>
        <v>5782</v>
      </c>
      <c r="B5784" s="6" t="s">
        <v>14938</v>
      </c>
      <c r="C5784" s="6" t="s">
        <v>12</v>
      </c>
      <c r="D5784" s="6" t="s">
        <v>14573</v>
      </c>
      <c r="E5784" s="6" t="s">
        <v>14758</v>
      </c>
      <c r="F5784" s="6" t="s">
        <v>14939</v>
      </c>
      <c r="G5784" s="6" t="s">
        <v>16</v>
      </c>
      <c r="H5784" s="5">
        <v>3</v>
      </c>
      <c r="I5784" s="6" t="s">
        <v>14940</v>
      </c>
      <c r="J5784" s="5">
        <v>940</v>
      </c>
    </row>
    <row r="5785" s="2" customFormat="1" ht="27" spans="1:10">
      <c r="A5785" s="6">
        <f>5783</f>
        <v>5783</v>
      </c>
      <c r="B5785" s="6" t="s">
        <v>14941</v>
      </c>
      <c r="C5785" s="6" t="s">
        <v>12</v>
      </c>
      <c r="D5785" s="6" t="s">
        <v>14573</v>
      </c>
      <c r="E5785" s="6" t="s">
        <v>14758</v>
      </c>
      <c r="F5785" s="6" t="s">
        <v>14942</v>
      </c>
      <c r="G5785" s="6" t="s">
        <v>16</v>
      </c>
      <c r="H5785" s="5">
        <v>4</v>
      </c>
      <c r="I5785" s="6" t="s">
        <v>14943</v>
      </c>
      <c r="J5785" s="5">
        <v>580</v>
      </c>
    </row>
    <row r="5786" s="2" customFormat="1" spans="1:10">
      <c r="A5786" s="6">
        <f>5784</f>
        <v>5784</v>
      </c>
      <c r="B5786" s="6" t="s">
        <v>14944</v>
      </c>
      <c r="C5786" s="6" t="s">
        <v>12</v>
      </c>
      <c r="D5786" s="6" t="s">
        <v>14573</v>
      </c>
      <c r="E5786" s="6" t="s">
        <v>14758</v>
      </c>
      <c r="F5786" s="6" t="s">
        <v>14945</v>
      </c>
      <c r="G5786" s="6" t="s">
        <v>16</v>
      </c>
      <c r="H5786" s="5">
        <v>1</v>
      </c>
      <c r="I5786" s="6" t="s">
        <v>14945</v>
      </c>
      <c r="J5786" s="5">
        <v>285</v>
      </c>
    </row>
    <row r="5787" s="2" customFormat="1" spans="1:10">
      <c r="A5787" s="6">
        <f>5785</f>
        <v>5785</v>
      </c>
      <c r="B5787" s="6" t="s">
        <v>14946</v>
      </c>
      <c r="C5787" s="6" t="s">
        <v>12</v>
      </c>
      <c r="D5787" s="6" t="s">
        <v>14573</v>
      </c>
      <c r="E5787" s="6" t="s">
        <v>14758</v>
      </c>
      <c r="F5787" s="6" t="s">
        <v>14947</v>
      </c>
      <c r="G5787" s="6" t="s">
        <v>16</v>
      </c>
      <c r="H5787" s="5">
        <v>2</v>
      </c>
      <c r="I5787" s="6" t="s">
        <v>14948</v>
      </c>
      <c r="J5787" s="5">
        <v>540</v>
      </c>
    </row>
    <row r="5788" s="2" customFormat="1" ht="27" spans="1:10">
      <c r="A5788" s="6">
        <f>5786</f>
        <v>5786</v>
      </c>
      <c r="B5788" s="6" t="s">
        <v>14949</v>
      </c>
      <c r="C5788" s="6" t="s">
        <v>12</v>
      </c>
      <c r="D5788" s="6" t="s">
        <v>14573</v>
      </c>
      <c r="E5788" s="6" t="s">
        <v>14758</v>
      </c>
      <c r="F5788" s="6" t="s">
        <v>14950</v>
      </c>
      <c r="G5788" s="6" t="s">
        <v>16</v>
      </c>
      <c r="H5788" s="5">
        <v>4</v>
      </c>
      <c r="I5788" s="6" t="s">
        <v>14951</v>
      </c>
      <c r="J5788" s="5">
        <v>470</v>
      </c>
    </row>
    <row r="5789" s="2" customFormat="1" ht="27" spans="1:10">
      <c r="A5789" s="6">
        <f>5787</f>
        <v>5787</v>
      </c>
      <c r="B5789" s="6" t="s">
        <v>14952</v>
      </c>
      <c r="C5789" s="6" t="s">
        <v>12</v>
      </c>
      <c r="D5789" s="6" t="s">
        <v>14573</v>
      </c>
      <c r="E5789" s="6" t="s">
        <v>14758</v>
      </c>
      <c r="F5789" s="6" t="s">
        <v>14953</v>
      </c>
      <c r="G5789" s="6" t="s">
        <v>16</v>
      </c>
      <c r="H5789" s="5">
        <v>6</v>
      </c>
      <c r="I5789" s="6" t="s">
        <v>14954</v>
      </c>
      <c r="J5789" s="5">
        <v>1410</v>
      </c>
    </row>
    <row r="5790" s="2" customFormat="1" spans="1:10">
      <c r="A5790" s="6">
        <f>5788</f>
        <v>5788</v>
      </c>
      <c r="B5790" s="6" t="s">
        <v>14955</v>
      </c>
      <c r="C5790" s="6" t="s">
        <v>12</v>
      </c>
      <c r="D5790" s="6" t="s">
        <v>14573</v>
      </c>
      <c r="E5790" s="6" t="s">
        <v>14758</v>
      </c>
      <c r="F5790" s="6" t="s">
        <v>14956</v>
      </c>
      <c r="G5790" s="6" t="s">
        <v>16</v>
      </c>
      <c r="H5790" s="5">
        <v>3</v>
      </c>
      <c r="I5790" s="6" t="s">
        <v>14957</v>
      </c>
      <c r="J5790" s="5">
        <v>410</v>
      </c>
    </row>
    <row r="5791" s="2" customFormat="1" spans="1:10">
      <c r="A5791" s="6">
        <f>5789</f>
        <v>5789</v>
      </c>
      <c r="B5791" s="6" t="s">
        <v>14958</v>
      </c>
      <c r="C5791" s="6" t="s">
        <v>12</v>
      </c>
      <c r="D5791" s="6" t="s">
        <v>14573</v>
      </c>
      <c r="E5791" s="6" t="s">
        <v>14758</v>
      </c>
      <c r="F5791" s="6" t="s">
        <v>14959</v>
      </c>
      <c r="G5791" s="6" t="s">
        <v>16</v>
      </c>
      <c r="H5791" s="5">
        <v>3</v>
      </c>
      <c r="I5791" s="6" t="s">
        <v>14960</v>
      </c>
      <c r="J5791" s="5">
        <v>800</v>
      </c>
    </row>
    <row r="5792" s="2" customFormat="1" spans="1:10">
      <c r="A5792" s="6">
        <f>5790</f>
        <v>5790</v>
      </c>
      <c r="B5792" s="6" t="s">
        <v>14961</v>
      </c>
      <c r="C5792" s="6" t="s">
        <v>12</v>
      </c>
      <c r="D5792" s="6" t="s">
        <v>14573</v>
      </c>
      <c r="E5792" s="6" t="s">
        <v>14758</v>
      </c>
      <c r="F5792" s="6" t="s">
        <v>14962</v>
      </c>
      <c r="G5792" s="6" t="s">
        <v>16</v>
      </c>
      <c r="H5792" s="5">
        <v>1</v>
      </c>
      <c r="I5792" s="6" t="s">
        <v>14962</v>
      </c>
      <c r="J5792" s="5">
        <v>400</v>
      </c>
    </row>
    <row r="5793" s="2" customFormat="1" ht="27" spans="1:10">
      <c r="A5793" s="6">
        <f>5791</f>
        <v>5791</v>
      </c>
      <c r="B5793" s="6" t="s">
        <v>14963</v>
      </c>
      <c r="C5793" s="6" t="s">
        <v>12</v>
      </c>
      <c r="D5793" s="6" t="s">
        <v>14573</v>
      </c>
      <c r="E5793" s="6" t="s">
        <v>14758</v>
      </c>
      <c r="F5793" s="6" t="s">
        <v>14964</v>
      </c>
      <c r="G5793" s="6" t="s">
        <v>16</v>
      </c>
      <c r="H5793" s="5">
        <v>5</v>
      </c>
      <c r="I5793" s="6" t="s">
        <v>14965</v>
      </c>
      <c r="J5793" s="5">
        <v>660</v>
      </c>
    </row>
    <row r="5794" s="2" customFormat="1" spans="1:10">
      <c r="A5794" s="6">
        <f>5792</f>
        <v>5792</v>
      </c>
      <c r="B5794" s="6" t="s">
        <v>14966</v>
      </c>
      <c r="C5794" s="6" t="s">
        <v>12</v>
      </c>
      <c r="D5794" s="6" t="s">
        <v>14573</v>
      </c>
      <c r="E5794" s="6" t="s">
        <v>14758</v>
      </c>
      <c r="F5794" s="6" t="s">
        <v>14967</v>
      </c>
      <c r="G5794" s="6" t="s">
        <v>16</v>
      </c>
      <c r="H5794" s="5">
        <v>2</v>
      </c>
      <c r="I5794" s="6" t="s">
        <v>14968</v>
      </c>
      <c r="J5794" s="5">
        <v>450</v>
      </c>
    </row>
    <row r="5795" s="2" customFormat="1" spans="1:10">
      <c r="A5795" s="6">
        <f>5793</f>
        <v>5793</v>
      </c>
      <c r="B5795" s="6" t="s">
        <v>14969</v>
      </c>
      <c r="C5795" s="6" t="s">
        <v>12</v>
      </c>
      <c r="D5795" s="6" t="s">
        <v>14573</v>
      </c>
      <c r="E5795" s="6" t="s">
        <v>14758</v>
      </c>
      <c r="F5795" s="6" t="s">
        <v>14970</v>
      </c>
      <c r="G5795" s="6" t="s">
        <v>16</v>
      </c>
      <c r="H5795" s="5">
        <v>1</v>
      </c>
      <c r="I5795" s="6" t="s">
        <v>14970</v>
      </c>
      <c r="J5795" s="5">
        <v>520</v>
      </c>
    </row>
    <row r="5796" s="2" customFormat="1" ht="27" spans="1:10">
      <c r="A5796" s="6">
        <f>5794</f>
        <v>5794</v>
      </c>
      <c r="B5796" s="6" t="s">
        <v>14971</v>
      </c>
      <c r="C5796" s="6" t="s">
        <v>12</v>
      </c>
      <c r="D5796" s="6" t="s">
        <v>14573</v>
      </c>
      <c r="E5796" s="6" t="s">
        <v>14758</v>
      </c>
      <c r="F5796" s="6" t="s">
        <v>14972</v>
      </c>
      <c r="G5796" s="6" t="s">
        <v>16</v>
      </c>
      <c r="H5796" s="5">
        <v>6</v>
      </c>
      <c r="I5796" s="6" t="s">
        <v>14973</v>
      </c>
      <c r="J5796" s="5">
        <v>1390</v>
      </c>
    </row>
    <row r="5797" s="2" customFormat="1" spans="1:10">
      <c r="A5797" s="6">
        <f>5795</f>
        <v>5795</v>
      </c>
      <c r="B5797" s="6" t="s">
        <v>14974</v>
      </c>
      <c r="C5797" s="6" t="s">
        <v>12</v>
      </c>
      <c r="D5797" s="6" t="s">
        <v>14573</v>
      </c>
      <c r="E5797" s="6" t="s">
        <v>14758</v>
      </c>
      <c r="F5797" s="6" t="s">
        <v>14975</v>
      </c>
      <c r="G5797" s="6" t="s">
        <v>16</v>
      </c>
      <c r="H5797" s="5">
        <v>1</v>
      </c>
      <c r="I5797" s="6" t="s">
        <v>14975</v>
      </c>
      <c r="J5797" s="5">
        <v>368</v>
      </c>
    </row>
    <row r="5798" s="2" customFormat="1" ht="27" spans="1:10">
      <c r="A5798" s="6">
        <f>5796</f>
        <v>5796</v>
      </c>
      <c r="B5798" s="6" t="s">
        <v>14976</v>
      </c>
      <c r="C5798" s="6" t="s">
        <v>12</v>
      </c>
      <c r="D5798" s="6" t="s">
        <v>14573</v>
      </c>
      <c r="E5798" s="6" t="s">
        <v>14758</v>
      </c>
      <c r="F5798" s="6" t="s">
        <v>14977</v>
      </c>
      <c r="G5798" s="6" t="s">
        <v>16</v>
      </c>
      <c r="H5798" s="5">
        <v>6</v>
      </c>
      <c r="I5798" s="6" t="s">
        <v>14978</v>
      </c>
      <c r="J5798" s="5">
        <v>620</v>
      </c>
    </row>
    <row r="5799" s="2" customFormat="1" spans="1:10">
      <c r="A5799" s="6">
        <f>5797</f>
        <v>5797</v>
      </c>
      <c r="B5799" s="6" t="s">
        <v>14979</v>
      </c>
      <c r="C5799" s="6" t="s">
        <v>12</v>
      </c>
      <c r="D5799" s="6" t="s">
        <v>14573</v>
      </c>
      <c r="E5799" s="6" t="s">
        <v>14758</v>
      </c>
      <c r="F5799" s="6" t="s">
        <v>14980</v>
      </c>
      <c r="G5799" s="6" t="s">
        <v>16</v>
      </c>
      <c r="H5799" s="5">
        <v>3</v>
      </c>
      <c r="I5799" s="6" t="s">
        <v>14981</v>
      </c>
      <c r="J5799" s="5">
        <v>870</v>
      </c>
    </row>
    <row r="5800" s="2" customFormat="1" spans="1:10">
      <c r="A5800" s="6">
        <f>5798</f>
        <v>5798</v>
      </c>
      <c r="B5800" s="6" t="s">
        <v>14982</v>
      </c>
      <c r="C5800" s="6" t="s">
        <v>12</v>
      </c>
      <c r="D5800" s="6" t="s">
        <v>14573</v>
      </c>
      <c r="E5800" s="6" t="s">
        <v>14758</v>
      </c>
      <c r="F5800" s="6" t="s">
        <v>14983</v>
      </c>
      <c r="G5800" s="6" t="s">
        <v>16</v>
      </c>
      <c r="H5800" s="5">
        <v>1</v>
      </c>
      <c r="I5800" s="6" t="s">
        <v>14983</v>
      </c>
      <c r="J5800" s="5">
        <v>245</v>
      </c>
    </row>
    <row r="5801" s="2" customFormat="1" spans="1:10">
      <c r="A5801" s="6">
        <f>5799</f>
        <v>5799</v>
      </c>
      <c r="B5801" s="6" t="s">
        <v>14984</v>
      </c>
      <c r="C5801" s="6" t="s">
        <v>12</v>
      </c>
      <c r="D5801" s="6" t="s">
        <v>14573</v>
      </c>
      <c r="E5801" s="6" t="s">
        <v>14758</v>
      </c>
      <c r="F5801" s="6" t="s">
        <v>14985</v>
      </c>
      <c r="G5801" s="6" t="s">
        <v>16</v>
      </c>
      <c r="H5801" s="5">
        <v>1</v>
      </c>
      <c r="I5801" s="6" t="s">
        <v>14985</v>
      </c>
      <c r="J5801" s="5">
        <v>400</v>
      </c>
    </row>
    <row r="5802" s="2" customFormat="1" ht="27" spans="1:10">
      <c r="A5802" s="6">
        <f>5800</f>
        <v>5800</v>
      </c>
      <c r="B5802" s="6" t="s">
        <v>14986</v>
      </c>
      <c r="C5802" s="6" t="s">
        <v>12</v>
      </c>
      <c r="D5802" s="6" t="s">
        <v>14573</v>
      </c>
      <c r="E5802" s="6" t="s">
        <v>14758</v>
      </c>
      <c r="F5802" s="6" t="s">
        <v>14987</v>
      </c>
      <c r="G5802" s="6" t="s">
        <v>16</v>
      </c>
      <c r="H5802" s="5">
        <v>4</v>
      </c>
      <c r="I5802" s="6" t="s">
        <v>14988</v>
      </c>
      <c r="J5802" s="5">
        <v>547</v>
      </c>
    </row>
    <row r="5803" s="2" customFormat="1" spans="1:10">
      <c r="A5803" s="6">
        <f>5801</f>
        <v>5801</v>
      </c>
      <c r="B5803" s="6" t="s">
        <v>14989</v>
      </c>
      <c r="C5803" s="6" t="s">
        <v>12</v>
      </c>
      <c r="D5803" s="6" t="s">
        <v>14573</v>
      </c>
      <c r="E5803" s="6" t="s">
        <v>14758</v>
      </c>
      <c r="F5803" s="6" t="s">
        <v>14990</v>
      </c>
      <c r="G5803" s="6" t="s">
        <v>16</v>
      </c>
      <c r="H5803" s="5">
        <v>1</v>
      </c>
      <c r="I5803" s="6" t="s">
        <v>14990</v>
      </c>
      <c r="J5803" s="5">
        <v>243</v>
      </c>
    </row>
    <row r="5804" s="2" customFormat="1" spans="1:10">
      <c r="A5804" s="6">
        <f>5802</f>
        <v>5802</v>
      </c>
      <c r="B5804" s="6" t="s">
        <v>14991</v>
      </c>
      <c r="C5804" s="6" t="s">
        <v>12</v>
      </c>
      <c r="D5804" s="6" t="s">
        <v>14573</v>
      </c>
      <c r="E5804" s="6" t="s">
        <v>14758</v>
      </c>
      <c r="F5804" s="6" t="s">
        <v>14992</v>
      </c>
      <c r="G5804" s="6" t="s">
        <v>16</v>
      </c>
      <c r="H5804" s="5">
        <v>1</v>
      </c>
      <c r="I5804" s="6" t="s">
        <v>14992</v>
      </c>
      <c r="J5804" s="5">
        <v>270</v>
      </c>
    </row>
    <row r="5805" s="2" customFormat="1" spans="1:10">
      <c r="A5805" s="6">
        <f>5803</f>
        <v>5803</v>
      </c>
      <c r="B5805" s="6" t="s">
        <v>14993</v>
      </c>
      <c r="C5805" s="6" t="s">
        <v>12</v>
      </c>
      <c r="D5805" s="6" t="s">
        <v>14573</v>
      </c>
      <c r="E5805" s="6" t="s">
        <v>14758</v>
      </c>
      <c r="F5805" s="6" t="s">
        <v>14994</v>
      </c>
      <c r="G5805" s="6" t="s">
        <v>16</v>
      </c>
      <c r="H5805" s="5">
        <v>1</v>
      </c>
      <c r="I5805" s="6" t="s">
        <v>14994</v>
      </c>
      <c r="J5805" s="5">
        <v>270</v>
      </c>
    </row>
    <row r="5806" s="2" customFormat="1" ht="27" spans="1:10">
      <c r="A5806" s="6">
        <f>5804</f>
        <v>5804</v>
      </c>
      <c r="B5806" s="6" t="s">
        <v>14995</v>
      </c>
      <c r="C5806" s="6" t="s">
        <v>12</v>
      </c>
      <c r="D5806" s="6" t="s">
        <v>14573</v>
      </c>
      <c r="E5806" s="6" t="s">
        <v>14758</v>
      </c>
      <c r="F5806" s="6" t="s">
        <v>14996</v>
      </c>
      <c r="G5806" s="6" t="s">
        <v>16</v>
      </c>
      <c r="H5806" s="5">
        <v>6</v>
      </c>
      <c r="I5806" s="6" t="s">
        <v>14997</v>
      </c>
      <c r="J5806" s="5">
        <v>570</v>
      </c>
    </row>
    <row r="5807" s="2" customFormat="1" spans="1:10">
      <c r="A5807" s="6">
        <f>5805</f>
        <v>5805</v>
      </c>
      <c r="B5807" s="6" t="s">
        <v>14998</v>
      </c>
      <c r="C5807" s="6" t="s">
        <v>12</v>
      </c>
      <c r="D5807" s="6" t="s">
        <v>14573</v>
      </c>
      <c r="E5807" s="6" t="s">
        <v>14758</v>
      </c>
      <c r="F5807" s="6" t="s">
        <v>14999</v>
      </c>
      <c r="G5807" s="6" t="s">
        <v>16</v>
      </c>
      <c r="H5807" s="5">
        <v>3</v>
      </c>
      <c r="I5807" s="6" t="s">
        <v>15000</v>
      </c>
      <c r="J5807" s="5">
        <v>750</v>
      </c>
    </row>
    <row r="5808" s="2" customFormat="1" spans="1:10">
      <c r="A5808" s="6">
        <f>5806</f>
        <v>5806</v>
      </c>
      <c r="B5808" s="6" t="s">
        <v>15001</v>
      </c>
      <c r="C5808" s="6" t="s">
        <v>12</v>
      </c>
      <c r="D5808" s="6" t="s">
        <v>14573</v>
      </c>
      <c r="E5808" s="6" t="s">
        <v>14758</v>
      </c>
      <c r="F5808" s="6" t="s">
        <v>15002</v>
      </c>
      <c r="G5808" s="6" t="s">
        <v>16</v>
      </c>
      <c r="H5808" s="5">
        <v>1</v>
      </c>
      <c r="I5808" s="6" t="s">
        <v>15002</v>
      </c>
      <c r="J5808" s="5">
        <v>245</v>
      </c>
    </row>
    <row r="5809" s="2" customFormat="1" spans="1:10">
      <c r="A5809" s="6">
        <f>5807</f>
        <v>5807</v>
      </c>
      <c r="B5809" s="6" t="s">
        <v>15003</v>
      </c>
      <c r="C5809" s="6" t="s">
        <v>12</v>
      </c>
      <c r="D5809" s="6" t="s">
        <v>14573</v>
      </c>
      <c r="E5809" s="6" t="s">
        <v>14758</v>
      </c>
      <c r="F5809" s="6" t="s">
        <v>15004</v>
      </c>
      <c r="G5809" s="6" t="s">
        <v>16</v>
      </c>
      <c r="H5809" s="5">
        <v>1</v>
      </c>
      <c r="I5809" s="6" t="s">
        <v>15004</v>
      </c>
      <c r="J5809" s="5">
        <v>380</v>
      </c>
    </row>
    <row r="5810" s="2" customFormat="1" ht="27" spans="1:10">
      <c r="A5810" s="6">
        <f>5808</f>
        <v>5808</v>
      </c>
      <c r="B5810" s="6" t="s">
        <v>15005</v>
      </c>
      <c r="C5810" s="6" t="s">
        <v>12</v>
      </c>
      <c r="D5810" s="6" t="s">
        <v>14573</v>
      </c>
      <c r="E5810" s="6" t="s">
        <v>15006</v>
      </c>
      <c r="F5810" s="6" t="s">
        <v>15007</v>
      </c>
      <c r="G5810" s="6" t="s">
        <v>16</v>
      </c>
      <c r="H5810" s="5">
        <v>5</v>
      </c>
      <c r="I5810" s="6" t="s">
        <v>15008</v>
      </c>
      <c r="J5810" s="5">
        <v>950</v>
      </c>
    </row>
    <row r="5811" s="2" customFormat="1" ht="27" spans="1:10">
      <c r="A5811" s="6">
        <f>5809</f>
        <v>5809</v>
      </c>
      <c r="B5811" s="6" t="s">
        <v>15009</v>
      </c>
      <c r="C5811" s="6" t="s">
        <v>12</v>
      </c>
      <c r="D5811" s="6" t="s">
        <v>14573</v>
      </c>
      <c r="E5811" s="6" t="s">
        <v>15006</v>
      </c>
      <c r="F5811" s="6" t="s">
        <v>15010</v>
      </c>
      <c r="G5811" s="6" t="s">
        <v>16</v>
      </c>
      <c r="H5811" s="5">
        <v>5</v>
      </c>
      <c r="I5811" s="6" t="s">
        <v>15011</v>
      </c>
      <c r="J5811" s="5">
        <v>1100</v>
      </c>
    </row>
    <row r="5812" s="2" customFormat="1" spans="1:10">
      <c r="A5812" s="6">
        <f>5810</f>
        <v>5810</v>
      </c>
      <c r="B5812" s="6" t="s">
        <v>15012</v>
      </c>
      <c r="C5812" s="6" t="s">
        <v>12</v>
      </c>
      <c r="D5812" s="6" t="s">
        <v>14573</v>
      </c>
      <c r="E5812" s="6" t="s">
        <v>15006</v>
      </c>
      <c r="F5812" s="6" t="s">
        <v>15013</v>
      </c>
      <c r="G5812" s="6" t="s">
        <v>16</v>
      </c>
      <c r="H5812" s="5">
        <v>3</v>
      </c>
      <c r="I5812" s="6" t="s">
        <v>15014</v>
      </c>
      <c r="J5812" s="5">
        <v>360</v>
      </c>
    </row>
    <row r="5813" s="2" customFormat="1" spans="1:10">
      <c r="A5813" s="6">
        <f>5811</f>
        <v>5811</v>
      </c>
      <c r="B5813" s="6" t="s">
        <v>15015</v>
      </c>
      <c r="C5813" s="6" t="s">
        <v>12</v>
      </c>
      <c r="D5813" s="6" t="s">
        <v>14573</v>
      </c>
      <c r="E5813" s="6" t="s">
        <v>15006</v>
      </c>
      <c r="F5813" s="6" t="s">
        <v>15016</v>
      </c>
      <c r="G5813" s="6" t="s">
        <v>16</v>
      </c>
      <c r="H5813" s="5">
        <v>3</v>
      </c>
      <c r="I5813" s="6" t="s">
        <v>15017</v>
      </c>
      <c r="J5813" s="5">
        <v>720</v>
      </c>
    </row>
    <row r="5814" s="2" customFormat="1" spans="1:10">
      <c r="A5814" s="6">
        <f>5812</f>
        <v>5812</v>
      </c>
      <c r="B5814" s="6" t="s">
        <v>15018</v>
      </c>
      <c r="C5814" s="6" t="s">
        <v>12</v>
      </c>
      <c r="D5814" s="6" t="s">
        <v>14573</v>
      </c>
      <c r="E5814" s="6" t="s">
        <v>15006</v>
      </c>
      <c r="F5814" s="6" t="s">
        <v>15019</v>
      </c>
      <c r="G5814" s="6" t="s">
        <v>16</v>
      </c>
      <c r="H5814" s="5">
        <v>1</v>
      </c>
      <c r="I5814" s="6" t="s">
        <v>15019</v>
      </c>
      <c r="J5814" s="5">
        <v>260</v>
      </c>
    </row>
    <row r="5815" s="2" customFormat="1" spans="1:10">
      <c r="A5815" s="6">
        <f>5813</f>
        <v>5813</v>
      </c>
      <c r="B5815" s="6" t="s">
        <v>15020</v>
      </c>
      <c r="C5815" s="6" t="s">
        <v>12</v>
      </c>
      <c r="D5815" s="6" t="s">
        <v>14573</v>
      </c>
      <c r="E5815" s="6" t="s">
        <v>15006</v>
      </c>
      <c r="F5815" s="6" t="s">
        <v>15021</v>
      </c>
      <c r="G5815" s="6" t="s">
        <v>16</v>
      </c>
      <c r="H5815" s="5">
        <v>2</v>
      </c>
      <c r="I5815" s="6" t="s">
        <v>15022</v>
      </c>
      <c r="J5815" s="5">
        <v>560</v>
      </c>
    </row>
    <row r="5816" s="2" customFormat="1" spans="1:10">
      <c r="A5816" s="6">
        <f>5814</f>
        <v>5814</v>
      </c>
      <c r="B5816" s="6" t="s">
        <v>15023</v>
      </c>
      <c r="C5816" s="6" t="s">
        <v>12</v>
      </c>
      <c r="D5816" s="6" t="s">
        <v>14573</v>
      </c>
      <c r="E5816" s="6" t="s">
        <v>15006</v>
      </c>
      <c r="F5816" s="6" t="s">
        <v>15024</v>
      </c>
      <c r="G5816" s="6" t="s">
        <v>16</v>
      </c>
      <c r="H5816" s="5">
        <v>1</v>
      </c>
      <c r="I5816" s="6" t="s">
        <v>15024</v>
      </c>
      <c r="J5816" s="5">
        <v>620</v>
      </c>
    </row>
    <row r="5817" s="2" customFormat="1" spans="1:10">
      <c r="A5817" s="6">
        <f>5815</f>
        <v>5815</v>
      </c>
      <c r="B5817" s="6" t="s">
        <v>15025</v>
      </c>
      <c r="C5817" s="6" t="s">
        <v>12</v>
      </c>
      <c r="D5817" s="6" t="s">
        <v>14573</v>
      </c>
      <c r="E5817" s="6" t="s">
        <v>15006</v>
      </c>
      <c r="F5817" s="6" t="s">
        <v>15026</v>
      </c>
      <c r="G5817" s="6" t="s">
        <v>16</v>
      </c>
      <c r="H5817" s="5">
        <v>1</v>
      </c>
      <c r="I5817" s="6" t="s">
        <v>15026</v>
      </c>
      <c r="J5817" s="5">
        <v>390</v>
      </c>
    </row>
    <row r="5818" s="2" customFormat="1" spans="1:10">
      <c r="A5818" s="6">
        <f>5816</f>
        <v>5816</v>
      </c>
      <c r="B5818" s="6" t="s">
        <v>15027</v>
      </c>
      <c r="C5818" s="6" t="s">
        <v>12</v>
      </c>
      <c r="D5818" s="6" t="s">
        <v>14573</v>
      </c>
      <c r="E5818" s="6" t="s">
        <v>15006</v>
      </c>
      <c r="F5818" s="6" t="s">
        <v>15028</v>
      </c>
      <c r="G5818" s="6" t="s">
        <v>16</v>
      </c>
      <c r="H5818" s="5">
        <v>1</v>
      </c>
      <c r="I5818" s="6" t="s">
        <v>15028</v>
      </c>
      <c r="J5818" s="5">
        <v>540</v>
      </c>
    </row>
    <row r="5819" s="2" customFormat="1" spans="1:10">
      <c r="A5819" s="6">
        <f>5817</f>
        <v>5817</v>
      </c>
      <c r="B5819" s="6" t="s">
        <v>15029</v>
      </c>
      <c r="C5819" s="6" t="s">
        <v>12</v>
      </c>
      <c r="D5819" s="6" t="s">
        <v>14573</v>
      </c>
      <c r="E5819" s="6" t="s">
        <v>15006</v>
      </c>
      <c r="F5819" s="6" t="s">
        <v>15030</v>
      </c>
      <c r="G5819" s="6" t="s">
        <v>16</v>
      </c>
      <c r="H5819" s="5">
        <v>2</v>
      </c>
      <c r="I5819" s="6" t="s">
        <v>15031</v>
      </c>
      <c r="J5819" s="5">
        <v>730</v>
      </c>
    </row>
    <row r="5820" s="2" customFormat="1" spans="1:10">
      <c r="A5820" s="6">
        <f>5818</f>
        <v>5818</v>
      </c>
      <c r="B5820" s="6" t="s">
        <v>15032</v>
      </c>
      <c r="C5820" s="6" t="s">
        <v>12</v>
      </c>
      <c r="D5820" s="6" t="s">
        <v>14573</v>
      </c>
      <c r="E5820" s="6" t="s">
        <v>15006</v>
      </c>
      <c r="F5820" s="6" t="s">
        <v>15033</v>
      </c>
      <c r="G5820" s="6" t="s">
        <v>16</v>
      </c>
      <c r="H5820" s="5">
        <v>3</v>
      </c>
      <c r="I5820" s="6" t="s">
        <v>15034</v>
      </c>
      <c r="J5820" s="5">
        <v>510</v>
      </c>
    </row>
    <row r="5821" s="2" customFormat="1" ht="27" spans="1:10">
      <c r="A5821" s="6">
        <f>5819</f>
        <v>5819</v>
      </c>
      <c r="B5821" s="6" t="s">
        <v>15035</v>
      </c>
      <c r="C5821" s="6" t="s">
        <v>12</v>
      </c>
      <c r="D5821" s="6" t="s">
        <v>14573</v>
      </c>
      <c r="E5821" s="6" t="s">
        <v>15006</v>
      </c>
      <c r="F5821" s="6" t="s">
        <v>15036</v>
      </c>
      <c r="G5821" s="6" t="s">
        <v>16</v>
      </c>
      <c r="H5821" s="5">
        <v>4</v>
      </c>
      <c r="I5821" s="6" t="s">
        <v>15037</v>
      </c>
      <c r="J5821" s="5">
        <v>560</v>
      </c>
    </row>
    <row r="5822" s="2" customFormat="1" spans="1:10">
      <c r="A5822" s="6">
        <f>5820</f>
        <v>5820</v>
      </c>
      <c r="B5822" s="6" t="s">
        <v>15038</v>
      </c>
      <c r="C5822" s="6" t="s">
        <v>12</v>
      </c>
      <c r="D5822" s="6" t="s">
        <v>14573</v>
      </c>
      <c r="E5822" s="6" t="s">
        <v>15006</v>
      </c>
      <c r="F5822" s="6" t="s">
        <v>15039</v>
      </c>
      <c r="G5822" s="6" t="s">
        <v>16</v>
      </c>
      <c r="H5822" s="5">
        <v>2</v>
      </c>
      <c r="I5822" s="6" t="s">
        <v>15040</v>
      </c>
      <c r="J5822" s="5">
        <v>460</v>
      </c>
    </row>
    <row r="5823" s="2" customFormat="1" spans="1:10">
      <c r="A5823" s="6">
        <f>5821</f>
        <v>5821</v>
      </c>
      <c r="B5823" s="6" t="s">
        <v>15041</v>
      </c>
      <c r="C5823" s="6" t="s">
        <v>12</v>
      </c>
      <c r="D5823" s="6" t="s">
        <v>14573</v>
      </c>
      <c r="E5823" s="6" t="s">
        <v>15006</v>
      </c>
      <c r="F5823" s="6" t="s">
        <v>15042</v>
      </c>
      <c r="G5823" s="6" t="s">
        <v>16</v>
      </c>
      <c r="H5823" s="5">
        <v>1</v>
      </c>
      <c r="I5823" s="6" t="s">
        <v>15042</v>
      </c>
      <c r="J5823" s="5">
        <v>270</v>
      </c>
    </row>
    <row r="5824" s="2" customFormat="1" spans="1:10">
      <c r="A5824" s="6">
        <f>5822</f>
        <v>5822</v>
      </c>
      <c r="B5824" s="6" t="s">
        <v>15043</v>
      </c>
      <c r="C5824" s="6" t="s">
        <v>12</v>
      </c>
      <c r="D5824" s="6" t="s">
        <v>14573</v>
      </c>
      <c r="E5824" s="6" t="s">
        <v>15006</v>
      </c>
      <c r="F5824" s="6" t="s">
        <v>15044</v>
      </c>
      <c r="G5824" s="6" t="s">
        <v>16</v>
      </c>
      <c r="H5824" s="5">
        <v>2</v>
      </c>
      <c r="I5824" s="6" t="s">
        <v>15045</v>
      </c>
      <c r="J5824" s="5">
        <v>450</v>
      </c>
    </row>
    <row r="5825" s="2" customFormat="1" spans="1:10">
      <c r="A5825" s="6">
        <f>5823</f>
        <v>5823</v>
      </c>
      <c r="B5825" s="6" t="s">
        <v>15046</v>
      </c>
      <c r="C5825" s="6" t="s">
        <v>12</v>
      </c>
      <c r="D5825" s="6" t="s">
        <v>14573</v>
      </c>
      <c r="E5825" s="6" t="s">
        <v>15006</v>
      </c>
      <c r="F5825" s="6" t="s">
        <v>15047</v>
      </c>
      <c r="G5825" s="6" t="s">
        <v>16</v>
      </c>
      <c r="H5825" s="5">
        <v>1</v>
      </c>
      <c r="I5825" s="6" t="s">
        <v>15047</v>
      </c>
      <c r="J5825" s="5">
        <v>368</v>
      </c>
    </row>
    <row r="5826" s="2" customFormat="1" spans="1:10">
      <c r="A5826" s="6">
        <f>5824</f>
        <v>5824</v>
      </c>
      <c r="B5826" s="6" t="s">
        <v>15048</v>
      </c>
      <c r="C5826" s="6" t="s">
        <v>12</v>
      </c>
      <c r="D5826" s="6" t="s">
        <v>14573</v>
      </c>
      <c r="E5826" s="6" t="s">
        <v>15006</v>
      </c>
      <c r="F5826" s="6" t="s">
        <v>15049</v>
      </c>
      <c r="G5826" s="6" t="s">
        <v>16</v>
      </c>
      <c r="H5826" s="5">
        <v>1</v>
      </c>
      <c r="I5826" s="6" t="s">
        <v>15049</v>
      </c>
      <c r="J5826" s="5">
        <v>170</v>
      </c>
    </row>
    <row r="5827" s="2" customFormat="1" spans="1:10">
      <c r="A5827" s="6">
        <f>5825</f>
        <v>5825</v>
      </c>
      <c r="B5827" s="6" t="s">
        <v>15050</v>
      </c>
      <c r="C5827" s="6" t="s">
        <v>12</v>
      </c>
      <c r="D5827" s="6" t="s">
        <v>14573</v>
      </c>
      <c r="E5827" s="6" t="s">
        <v>15006</v>
      </c>
      <c r="F5827" s="6" t="s">
        <v>15051</v>
      </c>
      <c r="G5827" s="6" t="s">
        <v>16</v>
      </c>
      <c r="H5827" s="5">
        <v>1</v>
      </c>
      <c r="I5827" s="6" t="s">
        <v>15051</v>
      </c>
      <c r="J5827" s="5">
        <v>270</v>
      </c>
    </row>
    <row r="5828" s="2" customFormat="1" spans="1:10">
      <c r="A5828" s="6">
        <f>5826</f>
        <v>5826</v>
      </c>
      <c r="B5828" s="6" t="s">
        <v>15052</v>
      </c>
      <c r="C5828" s="6" t="s">
        <v>12</v>
      </c>
      <c r="D5828" s="6" t="s">
        <v>14573</v>
      </c>
      <c r="E5828" s="6" t="s">
        <v>15006</v>
      </c>
      <c r="F5828" s="6" t="s">
        <v>15053</v>
      </c>
      <c r="G5828" s="6" t="s">
        <v>16</v>
      </c>
      <c r="H5828" s="5">
        <v>1</v>
      </c>
      <c r="I5828" s="6" t="s">
        <v>15053</v>
      </c>
      <c r="J5828" s="5">
        <v>390</v>
      </c>
    </row>
    <row r="5829" s="2" customFormat="1" spans="1:10">
      <c r="A5829" s="6">
        <f>5827</f>
        <v>5827</v>
      </c>
      <c r="B5829" s="6" t="s">
        <v>15054</v>
      </c>
      <c r="C5829" s="6" t="s">
        <v>12</v>
      </c>
      <c r="D5829" s="6" t="s">
        <v>14573</v>
      </c>
      <c r="E5829" s="6" t="s">
        <v>15006</v>
      </c>
      <c r="F5829" s="6" t="s">
        <v>15055</v>
      </c>
      <c r="G5829" s="6" t="s">
        <v>16</v>
      </c>
      <c r="H5829" s="5">
        <v>1</v>
      </c>
      <c r="I5829" s="6" t="s">
        <v>15055</v>
      </c>
      <c r="J5829" s="5">
        <v>260</v>
      </c>
    </row>
    <row r="5830" s="2" customFormat="1" spans="1:10">
      <c r="A5830" s="6">
        <f>5828</f>
        <v>5828</v>
      </c>
      <c r="B5830" s="6" t="s">
        <v>15056</v>
      </c>
      <c r="C5830" s="6" t="s">
        <v>12</v>
      </c>
      <c r="D5830" s="6" t="s">
        <v>14573</v>
      </c>
      <c r="E5830" s="6" t="s">
        <v>15006</v>
      </c>
      <c r="F5830" s="6" t="s">
        <v>15057</v>
      </c>
      <c r="G5830" s="6" t="s">
        <v>16</v>
      </c>
      <c r="H5830" s="5">
        <v>2</v>
      </c>
      <c r="I5830" s="6" t="s">
        <v>15058</v>
      </c>
      <c r="J5830" s="5">
        <v>574</v>
      </c>
    </row>
    <row r="5831" s="2" customFormat="1" spans="1:10">
      <c r="A5831" s="6">
        <f>5829</f>
        <v>5829</v>
      </c>
      <c r="B5831" s="6" t="s">
        <v>15059</v>
      </c>
      <c r="C5831" s="6" t="s">
        <v>12</v>
      </c>
      <c r="D5831" s="6" t="s">
        <v>14573</v>
      </c>
      <c r="E5831" s="6" t="s">
        <v>15006</v>
      </c>
      <c r="F5831" s="6" t="s">
        <v>8305</v>
      </c>
      <c r="G5831" s="6" t="s">
        <v>16</v>
      </c>
      <c r="H5831" s="5">
        <v>1</v>
      </c>
      <c r="I5831" s="6" t="s">
        <v>8305</v>
      </c>
      <c r="J5831" s="5">
        <v>270</v>
      </c>
    </row>
    <row r="5832" s="2" customFormat="1" spans="1:10">
      <c r="A5832" s="6">
        <f>5830</f>
        <v>5830</v>
      </c>
      <c r="B5832" s="6" t="s">
        <v>15060</v>
      </c>
      <c r="C5832" s="6" t="s">
        <v>12</v>
      </c>
      <c r="D5832" s="6" t="s">
        <v>14573</v>
      </c>
      <c r="E5832" s="6" t="s">
        <v>15006</v>
      </c>
      <c r="F5832" s="6" t="s">
        <v>15061</v>
      </c>
      <c r="G5832" s="6" t="s">
        <v>16</v>
      </c>
      <c r="H5832" s="5">
        <v>1</v>
      </c>
      <c r="I5832" s="6" t="s">
        <v>15061</v>
      </c>
      <c r="J5832" s="5">
        <v>368</v>
      </c>
    </row>
    <row r="5833" s="2" customFormat="1" ht="27" spans="1:10">
      <c r="A5833" s="6">
        <f>5831</f>
        <v>5831</v>
      </c>
      <c r="B5833" s="6" t="s">
        <v>15062</v>
      </c>
      <c r="C5833" s="6" t="s">
        <v>12</v>
      </c>
      <c r="D5833" s="6" t="s">
        <v>14573</v>
      </c>
      <c r="E5833" s="6" t="s">
        <v>15006</v>
      </c>
      <c r="F5833" s="6" t="s">
        <v>15063</v>
      </c>
      <c r="G5833" s="6" t="s">
        <v>16</v>
      </c>
      <c r="H5833" s="5">
        <v>4</v>
      </c>
      <c r="I5833" s="6" t="s">
        <v>15064</v>
      </c>
      <c r="J5833" s="5">
        <v>575</v>
      </c>
    </row>
    <row r="5834" s="2" customFormat="1" spans="1:10">
      <c r="A5834" s="6">
        <f>5832</f>
        <v>5832</v>
      </c>
      <c r="B5834" s="6" t="s">
        <v>15065</v>
      </c>
      <c r="C5834" s="6" t="s">
        <v>12</v>
      </c>
      <c r="D5834" s="6" t="s">
        <v>14573</v>
      </c>
      <c r="E5834" s="6" t="s">
        <v>15006</v>
      </c>
      <c r="F5834" s="6" t="s">
        <v>15066</v>
      </c>
      <c r="G5834" s="6" t="s">
        <v>16</v>
      </c>
      <c r="H5834" s="5">
        <v>1</v>
      </c>
      <c r="I5834" s="6" t="s">
        <v>15066</v>
      </c>
      <c r="J5834" s="5">
        <v>390</v>
      </c>
    </row>
    <row r="5835" s="2" customFormat="1" spans="1:10">
      <c r="A5835" s="6">
        <f>5833</f>
        <v>5833</v>
      </c>
      <c r="B5835" s="6" t="s">
        <v>15067</v>
      </c>
      <c r="C5835" s="6" t="s">
        <v>12</v>
      </c>
      <c r="D5835" s="6" t="s">
        <v>14573</v>
      </c>
      <c r="E5835" s="6" t="s">
        <v>15006</v>
      </c>
      <c r="F5835" s="6" t="s">
        <v>15068</v>
      </c>
      <c r="G5835" s="6" t="s">
        <v>16</v>
      </c>
      <c r="H5835" s="5">
        <v>3</v>
      </c>
      <c r="I5835" s="6" t="s">
        <v>15069</v>
      </c>
      <c r="J5835" s="5">
        <v>383</v>
      </c>
    </row>
    <row r="5836" s="2" customFormat="1" spans="1:10">
      <c r="A5836" s="6">
        <f>5834</f>
        <v>5834</v>
      </c>
      <c r="B5836" s="6" t="s">
        <v>15070</v>
      </c>
      <c r="C5836" s="6" t="s">
        <v>12</v>
      </c>
      <c r="D5836" s="6" t="s">
        <v>14573</v>
      </c>
      <c r="E5836" s="6" t="s">
        <v>15006</v>
      </c>
      <c r="F5836" s="6" t="s">
        <v>15071</v>
      </c>
      <c r="G5836" s="6" t="s">
        <v>16</v>
      </c>
      <c r="H5836" s="5">
        <v>3</v>
      </c>
      <c r="I5836" s="6" t="s">
        <v>15072</v>
      </c>
      <c r="J5836" s="5">
        <v>611</v>
      </c>
    </row>
    <row r="5837" s="2" customFormat="1" ht="27" spans="1:10">
      <c r="A5837" s="6">
        <f>5835</f>
        <v>5835</v>
      </c>
      <c r="B5837" s="6" t="s">
        <v>15073</v>
      </c>
      <c r="C5837" s="6" t="s">
        <v>12</v>
      </c>
      <c r="D5837" s="6" t="s">
        <v>14573</v>
      </c>
      <c r="E5837" s="6" t="s">
        <v>15006</v>
      </c>
      <c r="F5837" s="6" t="s">
        <v>15074</v>
      </c>
      <c r="G5837" s="6" t="s">
        <v>16</v>
      </c>
      <c r="H5837" s="5">
        <v>4</v>
      </c>
      <c r="I5837" s="6" t="s">
        <v>15075</v>
      </c>
      <c r="J5837" s="5">
        <v>807</v>
      </c>
    </row>
    <row r="5838" s="2" customFormat="1" ht="27" spans="1:10">
      <c r="A5838" s="6">
        <f>5836</f>
        <v>5836</v>
      </c>
      <c r="B5838" s="6" t="s">
        <v>15076</v>
      </c>
      <c r="C5838" s="6" t="s">
        <v>12</v>
      </c>
      <c r="D5838" s="6" t="s">
        <v>14573</v>
      </c>
      <c r="E5838" s="6" t="s">
        <v>15006</v>
      </c>
      <c r="F5838" s="6" t="s">
        <v>15077</v>
      </c>
      <c r="G5838" s="6" t="s">
        <v>16</v>
      </c>
      <c r="H5838" s="5">
        <v>4</v>
      </c>
      <c r="I5838" s="6" t="s">
        <v>15078</v>
      </c>
      <c r="J5838" s="5">
        <v>844</v>
      </c>
    </row>
    <row r="5839" s="2" customFormat="1" spans="1:10">
      <c r="A5839" s="6">
        <f>5837</f>
        <v>5837</v>
      </c>
      <c r="B5839" s="6" t="s">
        <v>15079</v>
      </c>
      <c r="C5839" s="6" t="s">
        <v>12</v>
      </c>
      <c r="D5839" s="6" t="s">
        <v>14573</v>
      </c>
      <c r="E5839" s="6" t="s">
        <v>15006</v>
      </c>
      <c r="F5839" s="6" t="s">
        <v>15080</v>
      </c>
      <c r="G5839" s="6" t="s">
        <v>16</v>
      </c>
      <c r="H5839" s="5">
        <v>2</v>
      </c>
      <c r="I5839" s="6" t="s">
        <v>15081</v>
      </c>
      <c r="J5839" s="5">
        <v>553</v>
      </c>
    </row>
    <row r="5840" s="2" customFormat="1" spans="1:10">
      <c r="A5840" s="6">
        <f>5838</f>
        <v>5838</v>
      </c>
      <c r="B5840" s="6" t="s">
        <v>15082</v>
      </c>
      <c r="C5840" s="6" t="s">
        <v>12</v>
      </c>
      <c r="D5840" s="6" t="s">
        <v>14573</v>
      </c>
      <c r="E5840" s="6" t="s">
        <v>15006</v>
      </c>
      <c r="F5840" s="6" t="s">
        <v>15083</v>
      </c>
      <c r="G5840" s="6" t="s">
        <v>16</v>
      </c>
      <c r="H5840" s="5">
        <v>1</v>
      </c>
      <c r="I5840" s="6" t="s">
        <v>15083</v>
      </c>
      <c r="J5840" s="5">
        <v>270</v>
      </c>
    </row>
    <row r="5841" s="2" customFormat="1" spans="1:10">
      <c r="A5841" s="6">
        <f>5839</f>
        <v>5839</v>
      </c>
      <c r="B5841" s="6" t="s">
        <v>15084</v>
      </c>
      <c r="C5841" s="6" t="s">
        <v>12</v>
      </c>
      <c r="D5841" s="6" t="s">
        <v>14573</v>
      </c>
      <c r="E5841" s="6" t="s">
        <v>15006</v>
      </c>
      <c r="F5841" s="6" t="s">
        <v>15085</v>
      </c>
      <c r="G5841" s="6" t="s">
        <v>16</v>
      </c>
      <c r="H5841" s="5">
        <v>1</v>
      </c>
      <c r="I5841" s="6" t="s">
        <v>15085</v>
      </c>
      <c r="J5841" s="5">
        <v>270</v>
      </c>
    </row>
    <row r="5842" s="2" customFormat="1" spans="1:10">
      <c r="A5842" s="6">
        <f>5840</f>
        <v>5840</v>
      </c>
      <c r="B5842" s="6" t="s">
        <v>15086</v>
      </c>
      <c r="C5842" s="6" t="s">
        <v>12</v>
      </c>
      <c r="D5842" s="6" t="s">
        <v>14573</v>
      </c>
      <c r="E5842" s="6" t="s">
        <v>15006</v>
      </c>
      <c r="F5842" s="6" t="s">
        <v>15087</v>
      </c>
      <c r="G5842" s="6" t="s">
        <v>16</v>
      </c>
      <c r="H5842" s="5">
        <v>1</v>
      </c>
      <c r="I5842" s="6" t="s">
        <v>15087</v>
      </c>
      <c r="J5842" s="5">
        <v>243</v>
      </c>
    </row>
    <row r="5843" s="2" customFormat="1" spans="1:10">
      <c r="A5843" s="6">
        <f>5841</f>
        <v>5841</v>
      </c>
      <c r="B5843" s="6" t="s">
        <v>15088</v>
      </c>
      <c r="C5843" s="6" t="s">
        <v>12</v>
      </c>
      <c r="D5843" s="6" t="s">
        <v>14573</v>
      </c>
      <c r="E5843" s="6" t="s">
        <v>15006</v>
      </c>
      <c r="F5843" s="6" t="s">
        <v>15089</v>
      </c>
      <c r="G5843" s="6" t="s">
        <v>16</v>
      </c>
      <c r="H5843" s="5">
        <v>3</v>
      </c>
      <c r="I5843" s="6" t="s">
        <v>15090</v>
      </c>
      <c r="J5843" s="5">
        <v>651</v>
      </c>
    </row>
    <row r="5844" s="2" customFormat="1" ht="27" spans="1:10">
      <c r="A5844" s="6">
        <f>5842</f>
        <v>5842</v>
      </c>
      <c r="B5844" s="6" t="s">
        <v>15091</v>
      </c>
      <c r="C5844" s="6" t="s">
        <v>12</v>
      </c>
      <c r="D5844" s="6" t="s">
        <v>14573</v>
      </c>
      <c r="E5844" s="6" t="s">
        <v>15006</v>
      </c>
      <c r="F5844" s="6" t="s">
        <v>15092</v>
      </c>
      <c r="G5844" s="6" t="s">
        <v>16</v>
      </c>
      <c r="H5844" s="5">
        <v>4</v>
      </c>
      <c r="I5844" s="6" t="s">
        <v>15093</v>
      </c>
      <c r="J5844" s="5">
        <v>580</v>
      </c>
    </row>
    <row r="5845" s="2" customFormat="1" spans="1:10">
      <c r="A5845" s="6">
        <f>5843</f>
        <v>5843</v>
      </c>
      <c r="B5845" s="6" t="s">
        <v>15094</v>
      </c>
      <c r="C5845" s="6" t="s">
        <v>12</v>
      </c>
      <c r="D5845" s="6" t="s">
        <v>14573</v>
      </c>
      <c r="E5845" s="6" t="s">
        <v>15006</v>
      </c>
      <c r="F5845" s="6" t="s">
        <v>15095</v>
      </c>
      <c r="G5845" s="6" t="s">
        <v>16</v>
      </c>
      <c r="H5845" s="5">
        <v>2</v>
      </c>
      <c r="I5845" s="6" t="s">
        <v>15096</v>
      </c>
      <c r="J5845" s="5">
        <v>564</v>
      </c>
    </row>
    <row r="5846" s="2" customFormat="1" spans="1:10">
      <c r="A5846" s="6">
        <f>5844</f>
        <v>5844</v>
      </c>
      <c r="B5846" s="6" t="s">
        <v>15097</v>
      </c>
      <c r="C5846" s="6" t="s">
        <v>12</v>
      </c>
      <c r="D5846" s="6" t="s">
        <v>14573</v>
      </c>
      <c r="E5846" s="6" t="s">
        <v>15006</v>
      </c>
      <c r="F5846" s="6" t="s">
        <v>15098</v>
      </c>
      <c r="G5846" s="6" t="s">
        <v>16</v>
      </c>
      <c r="H5846" s="5">
        <v>1</v>
      </c>
      <c r="I5846" s="6" t="s">
        <v>15098</v>
      </c>
      <c r="J5846" s="5">
        <v>300</v>
      </c>
    </row>
    <row r="5847" s="2" customFormat="1" spans="1:10">
      <c r="A5847" s="6">
        <f>5845</f>
        <v>5845</v>
      </c>
      <c r="B5847" s="6" t="s">
        <v>15099</v>
      </c>
      <c r="C5847" s="6" t="s">
        <v>12</v>
      </c>
      <c r="D5847" s="6" t="s">
        <v>14573</v>
      </c>
      <c r="E5847" s="6" t="s">
        <v>15006</v>
      </c>
      <c r="F5847" s="6" t="s">
        <v>15100</v>
      </c>
      <c r="G5847" s="6" t="s">
        <v>16</v>
      </c>
      <c r="H5847" s="5">
        <v>2</v>
      </c>
      <c r="I5847" s="6" t="s">
        <v>15101</v>
      </c>
      <c r="J5847" s="5">
        <v>540</v>
      </c>
    </row>
    <row r="5848" s="2" customFormat="1" spans="1:10">
      <c r="A5848" s="6">
        <f>5846</f>
        <v>5846</v>
      </c>
      <c r="B5848" s="6" t="s">
        <v>15102</v>
      </c>
      <c r="C5848" s="6" t="s">
        <v>12</v>
      </c>
      <c r="D5848" s="6" t="s">
        <v>14573</v>
      </c>
      <c r="E5848" s="6" t="s">
        <v>15006</v>
      </c>
      <c r="F5848" s="6" t="s">
        <v>15103</v>
      </c>
      <c r="G5848" s="6" t="s">
        <v>16</v>
      </c>
      <c r="H5848" s="5">
        <v>1</v>
      </c>
      <c r="I5848" s="6" t="s">
        <v>15103</v>
      </c>
      <c r="J5848" s="5">
        <v>270</v>
      </c>
    </row>
    <row r="5849" s="2" customFormat="1" spans="1:10">
      <c r="A5849" s="6">
        <f>5847</f>
        <v>5847</v>
      </c>
      <c r="B5849" s="6" t="s">
        <v>15104</v>
      </c>
      <c r="C5849" s="6" t="s">
        <v>12</v>
      </c>
      <c r="D5849" s="6" t="s">
        <v>14573</v>
      </c>
      <c r="E5849" s="6" t="s">
        <v>15006</v>
      </c>
      <c r="F5849" s="6" t="s">
        <v>15105</v>
      </c>
      <c r="G5849" s="6" t="s">
        <v>16</v>
      </c>
      <c r="H5849" s="5">
        <v>1</v>
      </c>
      <c r="I5849" s="6" t="s">
        <v>15105</v>
      </c>
      <c r="J5849" s="5">
        <v>270</v>
      </c>
    </row>
    <row r="5850" s="2" customFormat="1" spans="1:10">
      <c r="A5850" s="6">
        <f>5848</f>
        <v>5848</v>
      </c>
      <c r="B5850" s="6" t="s">
        <v>15106</v>
      </c>
      <c r="C5850" s="6" t="s">
        <v>12</v>
      </c>
      <c r="D5850" s="6" t="s">
        <v>14573</v>
      </c>
      <c r="E5850" s="6" t="s">
        <v>15006</v>
      </c>
      <c r="F5850" s="6" t="s">
        <v>15107</v>
      </c>
      <c r="G5850" s="6" t="s">
        <v>16</v>
      </c>
      <c r="H5850" s="5">
        <v>1</v>
      </c>
      <c r="I5850" s="6" t="s">
        <v>15107</v>
      </c>
      <c r="J5850" s="5">
        <v>260</v>
      </c>
    </row>
    <row r="5851" s="2" customFormat="1" spans="1:10">
      <c r="A5851" s="6">
        <f>5849</f>
        <v>5849</v>
      </c>
      <c r="B5851" s="6" t="s">
        <v>15108</v>
      </c>
      <c r="C5851" s="6" t="s">
        <v>12</v>
      </c>
      <c r="D5851" s="6" t="s">
        <v>14573</v>
      </c>
      <c r="E5851" s="6" t="s">
        <v>15006</v>
      </c>
      <c r="F5851" s="6" t="s">
        <v>15109</v>
      </c>
      <c r="G5851" s="6" t="s">
        <v>16</v>
      </c>
      <c r="H5851" s="5">
        <v>2</v>
      </c>
      <c r="I5851" s="6" t="s">
        <v>15110</v>
      </c>
      <c r="J5851" s="5">
        <v>430</v>
      </c>
    </row>
    <row r="5852" s="2" customFormat="1" spans="1:10">
      <c r="A5852" s="6">
        <f>5850</f>
        <v>5850</v>
      </c>
      <c r="B5852" s="6" t="s">
        <v>15111</v>
      </c>
      <c r="C5852" s="6" t="s">
        <v>12</v>
      </c>
      <c r="D5852" s="6" t="s">
        <v>14573</v>
      </c>
      <c r="E5852" s="6" t="s">
        <v>15006</v>
      </c>
      <c r="F5852" s="6" t="s">
        <v>15112</v>
      </c>
      <c r="G5852" s="6" t="s">
        <v>16</v>
      </c>
      <c r="H5852" s="5">
        <v>1</v>
      </c>
      <c r="I5852" s="6" t="s">
        <v>15112</v>
      </c>
      <c r="J5852" s="5">
        <v>230</v>
      </c>
    </row>
    <row r="5853" s="2" customFormat="1" spans="1:10">
      <c r="A5853" s="6">
        <f>5851</f>
        <v>5851</v>
      </c>
      <c r="B5853" s="6" t="s">
        <v>15113</v>
      </c>
      <c r="C5853" s="6" t="s">
        <v>12</v>
      </c>
      <c r="D5853" s="6" t="s">
        <v>14573</v>
      </c>
      <c r="E5853" s="6" t="s">
        <v>15006</v>
      </c>
      <c r="F5853" s="6" t="s">
        <v>15114</v>
      </c>
      <c r="G5853" s="6" t="s">
        <v>16</v>
      </c>
      <c r="H5853" s="5">
        <v>1</v>
      </c>
      <c r="I5853" s="6" t="s">
        <v>15114</v>
      </c>
      <c r="J5853" s="5">
        <v>270</v>
      </c>
    </row>
    <row r="5854" s="2" customFormat="1" spans="1:10">
      <c r="A5854" s="6">
        <f>5852</f>
        <v>5852</v>
      </c>
      <c r="B5854" s="6" t="s">
        <v>15115</v>
      </c>
      <c r="C5854" s="6" t="s">
        <v>12</v>
      </c>
      <c r="D5854" s="6" t="s">
        <v>14573</v>
      </c>
      <c r="E5854" s="6" t="s">
        <v>15006</v>
      </c>
      <c r="F5854" s="6" t="s">
        <v>15116</v>
      </c>
      <c r="G5854" s="6" t="s">
        <v>16</v>
      </c>
      <c r="H5854" s="5">
        <v>1</v>
      </c>
      <c r="I5854" s="6" t="s">
        <v>15116</v>
      </c>
      <c r="J5854" s="5">
        <v>300</v>
      </c>
    </row>
    <row r="5855" s="2" customFormat="1" spans="1:10">
      <c r="A5855" s="6">
        <f>5853</f>
        <v>5853</v>
      </c>
      <c r="B5855" s="6" t="s">
        <v>15117</v>
      </c>
      <c r="C5855" s="6" t="s">
        <v>12</v>
      </c>
      <c r="D5855" s="6" t="s">
        <v>14573</v>
      </c>
      <c r="E5855" s="6" t="s">
        <v>15006</v>
      </c>
      <c r="F5855" s="6" t="s">
        <v>15118</v>
      </c>
      <c r="G5855" s="6" t="s">
        <v>16</v>
      </c>
      <c r="H5855" s="5">
        <v>1</v>
      </c>
      <c r="I5855" s="6" t="s">
        <v>15118</v>
      </c>
      <c r="J5855" s="5">
        <v>440</v>
      </c>
    </row>
    <row r="5856" s="2" customFormat="1" spans="1:10">
      <c r="A5856" s="6">
        <f>5854</f>
        <v>5854</v>
      </c>
      <c r="B5856" s="6" t="s">
        <v>15119</v>
      </c>
      <c r="C5856" s="6" t="s">
        <v>12</v>
      </c>
      <c r="D5856" s="6" t="s">
        <v>14573</v>
      </c>
      <c r="E5856" s="6" t="s">
        <v>15006</v>
      </c>
      <c r="F5856" s="6" t="s">
        <v>15120</v>
      </c>
      <c r="G5856" s="6" t="s">
        <v>16</v>
      </c>
      <c r="H5856" s="5">
        <v>1</v>
      </c>
      <c r="I5856" s="6" t="s">
        <v>15120</v>
      </c>
      <c r="J5856" s="5">
        <v>270</v>
      </c>
    </row>
    <row r="5857" s="2" customFormat="1" spans="1:10">
      <c r="A5857" s="6">
        <f>5855</f>
        <v>5855</v>
      </c>
      <c r="B5857" s="6" t="s">
        <v>15121</v>
      </c>
      <c r="C5857" s="6" t="s">
        <v>12</v>
      </c>
      <c r="D5857" s="6" t="s">
        <v>14573</v>
      </c>
      <c r="E5857" s="6" t="s">
        <v>15006</v>
      </c>
      <c r="F5857" s="6" t="s">
        <v>15122</v>
      </c>
      <c r="G5857" s="6" t="s">
        <v>16</v>
      </c>
      <c r="H5857" s="5">
        <v>2</v>
      </c>
      <c r="I5857" s="6" t="s">
        <v>15123</v>
      </c>
      <c r="J5857" s="5">
        <v>685</v>
      </c>
    </row>
    <row r="5858" s="2" customFormat="1" spans="1:10">
      <c r="A5858" s="6">
        <f>5856</f>
        <v>5856</v>
      </c>
      <c r="B5858" s="6" t="s">
        <v>15124</v>
      </c>
      <c r="C5858" s="6" t="s">
        <v>12</v>
      </c>
      <c r="D5858" s="6" t="s">
        <v>14573</v>
      </c>
      <c r="E5858" s="6" t="s">
        <v>15006</v>
      </c>
      <c r="F5858" s="6" t="s">
        <v>15125</v>
      </c>
      <c r="G5858" s="6" t="s">
        <v>16</v>
      </c>
      <c r="H5858" s="5">
        <v>1</v>
      </c>
      <c r="I5858" s="6" t="s">
        <v>15125</v>
      </c>
      <c r="J5858" s="5">
        <v>243</v>
      </c>
    </row>
    <row r="5859" s="2" customFormat="1" spans="1:10">
      <c r="A5859" s="6">
        <f>5857</f>
        <v>5857</v>
      </c>
      <c r="B5859" s="6" t="s">
        <v>15126</v>
      </c>
      <c r="C5859" s="6" t="s">
        <v>12</v>
      </c>
      <c r="D5859" s="6" t="s">
        <v>14573</v>
      </c>
      <c r="E5859" s="6" t="s">
        <v>15006</v>
      </c>
      <c r="F5859" s="6" t="s">
        <v>15127</v>
      </c>
      <c r="G5859" s="6" t="s">
        <v>16</v>
      </c>
      <c r="H5859" s="5">
        <v>1</v>
      </c>
      <c r="I5859" s="6" t="s">
        <v>15127</v>
      </c>
      <c r="J5859" s="5">
        <v>270</v>
      </c>
    </row>
    <row r="5860" s="2" customFormat="1" spans="1:10">
      <c r="A5860" s="6">
        <f>5858</f>
        <v>5858</v>
      </c>
      <c r="B5860" s="6" t="s">
        <v>15128</v>
      </c>
      <c r="C5860" s="6" t="s">
        <v>12</v>
      </c>
      <c r="D5860" s="6" t="s">
        <v>14573</v>
      </c>
      <c r="E5860" s="6" t="s">
        <v>15006</v>
      </c>
      <c r="F5860" s="6" t="s">
        <v>15129</v>
      </c>
      <c r="G5860" s="6" t="s">
        <v>16</v>
      </c>
      <c r="H5860" s="5">
        <v>1</v>
      </c>
      <c r="I5860" s="6" t="s">
        <v>15129</v>
      </c>
      <c r="J5860" s="5">
        <v>243</v>
      </c>
    </row>
    <row r="5861" s="2" customFormat="1" spans="1:10">
      <c r="A5861" s="6">
        <f>5859</f>
        <v>5859</v>
      </c>
      <c r="B5861" s="6" t="s">
        <v>15130</v>
      </c>
      <c r="C5861" s="6" t="s">
        <v>12</v>
      </c>
      <c r="D5861" s="6" t="s">
        <v>14573</v>
      </c>
      <c r="E5861" s="6" t="s">
        <v>15006</v>
      </c>
      <c r="F5861" s="6" t="s">
        <v>15131</v>
      </c>
      <c r="G5861" s="6" t="s">
        <v>16</v>
      </c>
      <c r="H5861" s="5">
        <v>1</v>
      </c>
      <c r="I5861" s="6" t="s">
        <v>15131</v>
      </c>
      <c r="J5861" s="5">
        <v>245</v>
      </c>
    </row>
    <row r="5862" s="2" customFormat="1" spans="1:10">
      <c r="A5862" s="6">
        <f>5860</f>
        <v>5860</v>
      </c>
      <c r="B5862" s="6" t="s">
        <v>15132</v>
      </c>
      <c r="C5862" s="6" t="s">
        <v>12</v>
      </c>
      <c r="D5862" s="6" t="s">
        <v>14573</v>
      </c>
      <c r="E5862" s="6" t="s">
        <v>15006</v>
      </c>
      <c r="F5862" s="6" t="s">
        <v>15133</v>
      </c>
      <c r="G5862" s="6" t="s">
        <v>16</v>
      </c>
      <c r="H5862" s="5">
        <v>3</v>
      </c>
      <c r="I5862" s="6" t="s">
        <v>15134</v>
      </c>
      <c r="J5862" s="5">
        <v>520</v>
      </c>
    </row>
    <row r="5863" s="2" customFormat="1" spans="1:10">
      <c r="A5863" s="6">
        <f>5861</f>
        <v>5861</v>
      </c>
      <c r="B5863" s="6" t="s">
        <v>15135</v>
      </c>
      <c r="C5863" s="6" t="s">
        <v>12</v>
      </c>
      <c r="D5863" s="6" t="s">
        <v>14573</v>
      </c>
      <c r="E5863" s="6" t="s">
        <v>15006</v>
      </c>
      <c r="F5863" s="6" t="s">
        <v>15136</v>
      </c>
      <c r="G5863" s="6" t="s">
        <v>16</v>
      </c>
      <c r="H5863" s="5">
        <v>3</v>
      </c>
      <c r="I5863" s="6" t="s">
        <v>15137</v>
      </c>
      <c r="J5863" s="5">
        <v>635</v>
      </c>
    </row>
    <row r="5864" s="2" customFormat="1" spans="1:10">
      <c r="A5864" s="6">
        <f>5862</f>
        <v>5862</v>
      </c>
      <c r="B5864" s="6" t="s">
        <v>15138</v>
      </c>
      <c r="C5864" s="6" t="s">
        <v>12</v>
      </c>
      <c r="D5864" s="6" t="s">
        <v>14573</v>
      </c>
      <c r="E5864" s="6" t="s">
        <v>15006</v>
      </c>
      <c r="F5864" s="6" t="s">
        <v>15139</v>
      </c>
      <c r="G5864" s="6" t="s">
        <v>16</v>
      </c>
      <c r="H5864" s="5">
        <v>2</v>
      </c>
      <c r="I5864" s="6" t="s">
        <v>15140</v>
      </c>
      <c r="J5864" s="5">
        <v>430</v>
      </c>
    </row>
    <row r="5865" s="2" customFormat="1" spans="1:10">
      <c r="A5865" s="6">
        <f>5863</f>
        <v>5863</v>
      </c>
      <c r="B5865" s="6" t="s">
        <v>15141</v>
      </c>
      <c r="C5865" s="6" t="s">
        <v>12</v>
      </c>
      <c r="D5865" s="6" t="s">
        <v>14573</v>
      </c>
      <c r="E5865" s="6" t="s">
        <v>15006</v>
      </c>
      <c r="F5865" s="6" t="s">
        <v>15142</v>
      </c>
      <c r="G5865" s="6" t="s">
        <v>16</v>
      </c>
      <c r="H5865" s="5">
        <v>1</v>
      </c>
      <c r="I5865" s="6" t="s">
        <v>15142</v>
      </c>
      <c r="J5865" s="5">
        <v>360</v>
      </c>
    </row>
    <row r="5866" s="2" customFormat="1" ht="27" spans="1:10">
      <c r="A5866" s="6">
        <f>5864</f>
        <v>5864</v>
      </c>
      <c r="B5866" s="6" t="s">
        <v>15143</v>
      </c>
      <c r="C5866" s="6" t="s">
        <v>12</v>
      </c>
      <c r="D5866" s="6" t="s">
        <v>14573</v>
      </c>
      <c r="E5866" s="6" t="s">
        <v>15006</v>
      </c>
      <c r="F5866" s="6" t="s">
        <v>15144</v>
      </c>
      <c r="G5866" s="6" t="s">
        <v>16</v>
      </c>
      <c r="H5866" s="5">
        <v>4</v>
      </c>
      <c r="I5866" s="6" t="s">
        <v>15145</v>
      </c>
      <c r="J5866" s="5">
        <v>570</v>
      </c>
    </row>
    <row r="5867" s="2" customFormat="1" spans="1:10">
      <c r="A5867" s="6">
        <f>5865</f>
        <v>5865</v>
      </c>
      <c r="B5867" s="6" t="s">
        <v>15146</v>
      </c>
      <c r="C5867" s="6" t="s">
        <v>12</v>
      </c>
      <c r="D5867" s="6" t="s">
        <v>14573</v>
      </c>
      <c r="E5867" s="6" t="s">
        <v>15006</v>
      </c>
      <c r="F5867" s="6" t="s">
        <v>15147</v>
      </c>
      <c r="G5867" s="6" t="s">
        <v>16</v>
      </c>
      <c r="H5867" s="5">
        <v>2</v>
      </c>
      <c r="I5867" s="6" t="s">
        <v>15148</v>
      </c>
      <c r="J5867" s="5">
        <v>255</v>
      </c>
    </row>
    <row r="5868" s="2" customFormat="1" spans="1:10">
      <c r="A5868" s="6">
        <f>5866</f>
        <v>5866</v>
      </c>
      <c r="B5868" s="6" t="s">
        <v>15149</v>
      </c>
      <c r="C5868" s="6" t="s">
        <v>12</v>
      </c>
      <c r="D5868" s="6" t="s">
        <v>14573</v>
      </c>
      <c r="E5868" s="6" t="s">
        <v>15006</v>
      </c>
      <c r="F5868" s="6" t="s">
        <v>15150</v>
      </c>
      <c r="G5868" s="6" t="s">
        <v>16</v>
      </c>
      <c r="H5868" s="5">
        <v>2</v>
      </c>
      <c r="I5868" s="6" t="s">
        <v>15151</v>
      </c>
      <c r="J5868" s="5">
        <v>340</v>
      </c>
    </row>
    <row r="5869" s="2" customFormat="1" spans="1:10">
      <c r="A5869" s="6">
        <f>5867</f>
        <v>5867</v>
      </c>
      <c r="B5869" s="6" t="s">
        <v>15152</v>
      </c>
      <c r="C5869" s="6" t="s">
        <v>12</v>
      </c>
      <c r="D5869" s="6" t="s">
        <v>14573</v>
      </c>
      <c r="E5869" s="6" t="s">
        <v>15006</v>
      </c>
      <c r="F5869" s="6" t="s">
        <v>15153</v>
      </c>
      <c r="G5869" s="6" t="s">
        <v>16</v>
      </c>
      <c r="H5869" s="5">
        <v>3</v>
      </c>
      <c r="I5869" s="6" t="s">
        <v>15154</v>
      </c>
      <c r="J5869" s="5">
        <v>514</v>
      </c>
    </row>
    <row r="5870" s="2" customFormat="1" spans="1:10">
      <c r="A5870" s="6">
        <f>5868</f>
        <v>5868</v>
      </c>
      <c r="B5870" s="6" t="s">
        <v>15155</v>
      </c>
      <c r="C5870" s="6" t="s">
        <v>12</v>
      </c>
      <c r="D5870" s="6" t="s">
        <v>14573</v>
      </c>
      <c r="E5870" s="6" t="s">
        <v>15006</v>
      </c>
      <c r="F5870" s="6" t="s">
        <v>15156</v>
      </c>
      <c r="G5870" s="6" t="s">
        <v>16</v>
      </c>
      <c r="H5870" s="5">
        <v>1</v>
      </c>
      <c r="I5870" s="6" t="s">
        <v>15156</v>
      </c>
      <c r="J5870" s="5">
        <v>260</v>
      </c>
    </row>
    <row r="5871" s="2" customFormat="1" spans="1:10">
      <c r="A5871" s="6">
        <f>5869</f>
        <v>5869</v>
      </c>
      <c r="B5871" s="6" t="s">
        <v>15157</v>
      </c>
      <c r="C5871" s="6" t="s">
        <v>12</v>
      </c>
      <c r="D5871" s="6" t="s">
        <v>14573</v>
      </c>
      <c r="E5871" s="6" t="s">
        <v>15006</v>
      </c>
      <c r="F5871" s="6" t="s">
        <v>15158</v>
      </c>
      <c r="G5871" s="6" t="s">
        <v>16</v>
      </c>
      <c r="H5871" s="5">
        <v>1</v>
      </c>
      <c r="I5871" s="6" t="s">
        <v>15158</v>
      </c>
      <c r="J5871" s="5">
        <v>410</v>
      </c>
    </row>
    <row r="5872" s="2" customFormat="1" spans="1:10">
      <c r="A5872" s="6">
        <f>5870</f>
        <v>5870</v>
      </c>
      <c r="B5872" s="6" t="s">
        <v>15159</v>
      </c>
      <c r="C5872" s="6" t="s">
        <v>12</v>
      </c>
      <c r="D5872" s="6" t="s">
        <v>14573</v>
      </c>
      <c r="E5872" s="6" t="s">
        <v>15006</v>
      </c>
      <c r="F5872" s="6" t="s">
        <v>15160</v>
      </c>
      <c r="G5872" s="6" t="s">
        <v>16</v>
      </c>
      <c r="H5872" s="5">
        <v>1</v>
      </c>
      <c r="I5872" s="6" t="s">
        <v>15160</v>
      </c>
      <c r="J5872" s="5">
        <v>270</v>
      </c>
    </row>
    <row r="5873" s="2" customFormat="1" spans="1:10">
      <c r="A5873" s="6">
        <f>5871</f>
        <v>5871</v>
      </c>
      <c r="B5873" s="6" t="s">
        <v>15161</v>
      </c>
      <c r="C5873" s="6" t="s">
        <v>12</v>
      </c>
      <c r="D5873" s="6" t="s">
        <v>14573</v>
      </c>
      <c r="E5873" s="6" t="s">
        <v>15006</v>
      </c>
      <c r="F5873" s="6" t="s">
        <v>15162</v>
      </c>
      <c r="G5873" s="6" t="s">
        <v>16</v>
      </c>
      <c r="H5873" s="5">
        <v>3</v>
      </c>
      <c r="I5873" s="6" t="s">
        <v>15163</v>
      </c>
      <c r="J5873" s="5">
        <v>420</v>
      </c>
    </row>
    <row r="5874" s="2" customFormat="1" spans="1:10">
      <c r="A5874" s="6">
        <f>5872</f>
        <v>5872</v>
      </c>
      <c r="B5874" s="6" t="s">
        <v>15164</v>
      </c>
      <c r="C5874" s="6" t="s">
        <v>12</v>
      </c>
      <c r="D5874" s="6" t="s">
        <v>14573</v>
      </c>
      <c r="E5874" s="6" t="s">
        <v>15006</v>
      </c>
      <c r="F5874" s="6" t="s">
        <v>15165</v>
      </c>
      <c r="G5874" s="6" t="s">
        <v>16</v>
      </c>
      <c r="H5874" s="5">
        <v>1</v>
      </c>
      <c r="I5874" s="6" t="s">
        <v>15165</v>
      </c>
      <c r="J5874" s="5">
        <v>300</v>
      </c>
    </row>
    <row r="5875" s="2" customFormat="1" spans="1:10">
      <c r="A5875" s="6">
        <f>5873</f>
        <v>5873</v>
      </c>
      <c r="B5875" s="6" t="s">
        <v>15166</v>
      </c>
      <c r="C5875" s="6" t="s">
        <v>12</v>
      </c>
      <c r="D5875" s="6" t="s">
        <v>14573</v>
      </c>
      <c r="E5875" s="6" t="s">
        <v>15006</v>
      </c>
      <c r="F5875" s="6" t="s">
        <v>15167</v>
      </c>
      <c r="G5875" s="6" t="s">
        <v>16</v>
      </c>
      <c r="H5875" s="5">
        <v>1</v>
      </c>
      <c r="I5875" s="6" t="s">
        <v>15167</v>
      </c>
      <c r="J5875" s="5">
        <v>243</v>
      </c>
    </row>
    <row r="5876" s="2" customFormat="1" spans="1:10">
      <c r="A5876" s="6">
        <f>5874</f>
        <v>5874</v>
      </c>
      <c r="B5876" s="6" t="s">
        <v>15168</v>
      </c>
      <c r="C5876" s="6" t="s">
        <v>12</v>
      </c>
      <c r="D5876" s="6" t="s">
        <v>14573</v>
      </c>
      <c r="E5876" s="6" t="s">
        <v>15006</v>
      </c>
      <c r="F5876" s="6" t="s">
        <v>15169</v>
      </c>
      <c r="G5876" s="6" t="s">
        <v>16</v>
      </c>
      <c r="H5876" s="5">
        <v>1</v>
      </c>
      <c r="I5876" s="6" t="s">
        <v>15169</v>
      </c>
      <c r="J5876" s="5">
        <v>490</v>
      </c>
    </row>
    <row r="5877" s="2" customFormat="1" spans="1:10">
      <c r="A5877" s="6">
        <f>5875</f>
        <v>5875</v>
      </c>
      <c r="B5877" s="6" t="s">
        <v>15170</v>
      </c>
      <c r="C5877" s="6" t="s">
        <v>12</v>
      </c>
      <c r="D5877" s="6" t="s">
        <v>14573</v>
      </c>
      <c r="E5877" s="6" t="s">
        <v>15006</v>
      </c>
      <c r="F5877" s="6" t="s">
        <v>15171</v>
      </c>
      <c r="G5877" s="6" t="s">
        <v>16</v>
      </c>
      <c r="H5877" s="5">
        <v>2</v>
      </c>
      <c r="I5877" s="6" t="s">
        <v>15172</v>
      </c>
      <c r="J5877" s="5">
        <v>474</v>
      </c>
    </row>
    <row r="5878" s="2" customFormat="1" spans="1:10">
      <c r="A5878" s="6">
        <f>5876</f>
        <v>5876</v>
      </c>
      <c r="B5878" s="6" t="s">
        <v>15173</v>
      </c>
      <c r="C5878" s="6" t="s">
        <v>12</v>
      </c>
      <c r="D5878" s="6" t="s">
        <v>14573</v>
      </c>
      <c r="E5878" s="6" t="s">
        <v>15006</v>
      </c>
      <c r="F5878" s="6" t="s">
        <v>15174</v>
      </c>
      <c r="G5878" s="6" t="s">
        <v>16</v>
      </c>
      <c r="H5878" s="5">
        <v>2</v>
      </c>
      <c r="I5878" s="6" t="s">
        <v>15175</v>
      </c>
      <c r="J5878" s="5">
        <v>640</v>
      </c>
    </row>
    <row r="5879" s="2" customFormat="1" spans="1:10">
      <c r="A5879" s="6">
        <f>5877</f>
        <v>5877</v>
      </c>
      <c r="B5879" s="6" t="s">
        <v>15176</v>
      </c>
      <c r="C5879" s="6" t="s">
        <v>12</v>
      </c>
      <c r="D5879" s="6" t="s">
        <v>14573</v>
      </c>
      <c r="E5879" s="6" t="s">
        <v>15006</v>
      </c>
      <c r="F5879" s="6" t="s">
        <v>15177</v>
      </c>
      <c r="G5879" s="6" t="s">
        <v>16</v>
      </c>
      <c r="H5879" s="5">
        <v>1</v>
      </c>
      <c r="I5879" s="6" t="s">
        <v>15177</v>
      </c>
      <c r="J5879" s="5">
        <v>243</v>
      </c>
    </row>
    <row r="5880" s="2" customFormat="1" spans="1:10">
      <c r="A5880" s="6">
        <f>5878</f>
        <v>5878</v>
      </c>
      <c r="B5880" s="6" t="s">
        <v>15178</v>
      </c>
      <c r="C5880" s="6" t="s">
        <v>12</v>
      </c>
      <c r="D5880" s="6" t="s">
        <v>14573</v>
      </c>
      <c r="E5880" s="6" t="s">
        <v>15006</v>
      </c>
      <c r="F5880" s="6" t="s">
        <v>15179</v>
      </c>
      <c r="G5880" s="6" t="s">
        <v>16</v>
      </c>
      <c r="H5880" s="5">
        <v>1</v>
      </c>
      <c r="I5880" s="6" t="s">
        <v>15179</v>
      </c>
      <c r="J5880" s="5">
        <v>270</v>
      </c>
    </row>
    <row r="5881" s="2" customFormat="1" spans="1:10">
      <c r="A5881" s="6">
        <f>5879</f>
        <v>5879</v>
      </c>
      <c r="B5881" s="6" t="s">
        <v>15180</v>
      </c>
      <c r="C5881" s="6" t="s">
        <v>12</v>
      </c>
      <c r="D5881" s="6" t="s">
        <v>14573</v>
      </c>
      <c r="E5881" s="6" t="s">
        <v>15006</v>
      </c>
      <c r="F5881" s="6" t="s">
        <v>15181</v>
      </c>
      <c r="G5881" s="6" t="s">
        <v>16</v>
      </c>
      <c r="H5881" s="5">
        <v>2</v>
      </c>
      <c r="I5881" s="6" t="s">
        <v>15182</v>
      </c>
      <c r="J5881" s="5">
        <v>486</v>
      </c>
    </row>
    <row r="5882" s="2" customFormat="1" ht="27" spans="1:10">
      <c r="A5882" s="6">
        <f>5880</f>
        <v>5880</v>
      </c>
      <c r="B5882" s="6" t="s">
        <v>15183</v>
      </c>
      <c r="C5882" s="6" t="s">
        <v>12</v>
      </c>
      <c r="D5882" s="6" t="s">
        <v>14573</v>
      </c>
      <c r="E5882" s="6" t="s">
        <v>15006</v>
      </c>
      <c r="F5882" s="6" t="s">
        <v>15184</v>
      </c>
      <c r="G5882" s="6" t="s">
        <v>16</v>
      </c>
      <c r="H5882" s="5">
        <v>4</v>
      </c>
      <c r="I5882" s="6" t="s">
        <v>15185</v>
      </c>
      <c r="J5882" s="5">
        <v>780</v>
      </c>
    </row>
    <row r="5883" s="2" customFormat="1" spans="1:10">
      <c r="A5883" s="6">
        <f>5881</f>
        <v>5881</v>
      </c>
      <c r="B5883" s="6" t="s">
        <v>15186</v>
      </c>
      <c r="C5883" s="6" t="s">
        <v>12</v>
      </c>
      <c r="D5883" s="6" t="s">
        <v>14573</v>
      </c>
      <c r="E5883" s="6" t="s">
        <v>15006</v>
      </c>
      <c r="F5883" s="6" t="s">
        <v>15187</v>
      </c>
      <c r="G5883" s="6" t="s">
        <v>16</v>
      </c>
      <c r="H5883" s="5">
        <v>3</v>
      </c>
      <c r="I5883" s="6" t="s">
        <v>15188</v>
      </c>
      <c r="J5883" s="5">
        <v>530</v>
      </c>
    </row>
    <row r="5884" s="2" customFormat="1" spans="1:10">
      <c r="A5884" s="6">
        <f>5882</f>
        <v>5882</v>
      </c>
      <c r="B5884" s="6" t="s">
        <v>15189</v>
      </c>
      <c r="C5884" s="6" t="s">
        <v>12</v>
      </c>
      <c r="D5884" s="6" t="s">
        <v>14573</v>
      </c>
      <c r="E5884" s="6" t="s">
        <v>15006</v>
      </c>
      <c r="F5884" s="6" t="s">
        <v>15190</v>
      </c>
      <c r="G5884" s="6" t="s">
        <v>16</v>
      </c>
      <c r="H5884" s="5">
        <v>1</v>
      </c>
      <c r="I5884" s="6" t="s">
        <v>15190</v>
      </c>
      <c r="J5884" s="5">
        <v>270</v>
      </c>
    </row>
    <row r="5885" s="2" customFormat="1" spans="1:10">
      <c r="A5885" s="6">
        <f>5883</f>
        <v>5883</v>
      </c>
      <c r="B5885" s="6" t="s">
        <v>15191</v>
      </c>
      <c r="C5885" s="6" t="s">
        <v>12</v>
      </c>
      <c r="D5885" s="6" t="s">
        <v>14573</v>
      </c>
      <c r="E5885" s="6" t="s">
        <v>15006</v>
      </c>
      <c r="F5885" s="6" t="s">
        <v>15192</v>
      </c>
      <c r="G5885" s="6" t="s">
        <v>16</v>
      </c>
      <c r="H5885" s="5">
        <v>1</v>
      </c>
      <c r="I5885" s="6" t="s">
        <v>15192</v>
      </c>
      <c r="J5885" s="5">
        <v>370</v>
      </c>
    </row>
    <row r="5886" s="2" customFormat="1" spans="1:10">
      <c r="A5886" s="6">
        <f>5884</f>
        <v>5884</v>
      </c>
      <c r="B5886" s="6" t="s">
        <v>15193</v>
      </c>
      <c r="C5886" s="6" t="s">
        <v>12</v>
      </c>
      <c r="D5886" s="6" t="s">
        <v>14573</v>
      </c>
      <c r="E5886" s="6" t="s">
        <v>15006</v>
      </c>
      <c r="F5886" s="6" t="s">
        <v>15194</v>
      </c>
      <c r="G5886" s="6" t="s">
        <v>16</v>
      </c>
      <c r="H5886" s="5">
        <v>1</v>
      </c>
      <c r="I5886" s="6" t="s">
        <v>15194</v>
      </c>
      <c r="J5886" s="5">
        <v>370</v>
      </c>
    </row>
    <row r="5887" s="2" customFormat="1" spans="1:10">
      <c r="A5887" s="6">
        <f>5885</f>
        <v>5885</v>
      </c>
      <c r="B5887" s="6" t="s">
        <v>15195</v>
      </c>
      <c r="C5887" s="6" t="s">
        <v>12</v>
      </c>
      <c r="D5887" s="6" t="s">
        <v>14573</v>
      </c>
      <c r="E5887" s="6" t="s">
        <v>15006</v>
      </c>
      <c r="F5887" s="6" t="s">
        <v>15196</v>
      </c>
      <c r="G5887" s="6" t="s">
        <v>16</v>
      </c>
      <c r="H5887" s="5">
        <v>1</v>
      </c>
      <c r="I5887" s="6" t="s">
        <v>15196</v>
      </c>
      <c r="J5887" s="5">
        <v>243</v>
      </c>
    </row>
    <row r="5888" s="2" customFormat="1" spans="1:10">
      <c r="A5888" s="6">
        <f>5886</f>
        <v>5886</v>
      </c>
      <c r="B5888" s="6" t="s">
        <v>15197</v>
      </c>
      <c r="C5888" s="6" t="s">
        <v>12</v>
      </c>
      <c r="D5888" s="6" t="s">
        <v>14573</v>
      </c>
      <c r="E5888" s="6" t="s">
        <v>15006</v>
      </c>
      <c r="F5888" s="6" t="s">
        <v>15198</v>
      </c>
      <c r="G5888" s="6" t="s">
        <v>16</v>
      </c>
      <c r="H5888" s="5">
        <v>1</v>
      </c>
      <c r="I5888" s="6" t="s">
        <v>15198</v>
      </c>
      <c r="J5888" s="5">
        <v>243</v>
      </c>
    </row>
    <row r="5889" s="2" customFormat="1" spans="1:10">
      <c r="A5889" s="6">
        <f>5887</f>
        <v>5887</v>
      </c>
      <c r="B5889" s="6" t="s">
        <v>15199</v>
      </c>
      <c r="C5889" s="6" t="s">
        <v>12</v>
      </c>
      <c r="D5889" s="6" t="s">
        <v>14573</v>
      </c>
      <c r="E5889" s="6" t="s">
        <v>15006</v>
      </c>
      <c r="F5889" s="6" t="s">
        <v>15200</v>
      </c>
      <c r="G5889" s="6" t="s">
        <v>16</v>
      </c>
      <c r="H5889" s="5">
        <v>1</v>
      </c>
      <c r="I5889" s="6" t="s">
        <v>15200</v>
      </c>
      <c r="J5889" s="5">
        <v>366</v>
      </c>
    </row>
    <row r="5890" s="2" customFormat="1" spans="1:10">
      <c r="A5890" s="6">
        <f>5888</f>
        <v>5888</v>
      </c>
      <c r="B5890" s="6" t="s">
        <v>15201</v>
      </c>
      <c r="C5890" s="6" t="s">
        <v>12</v>
      </c>
      <c r="D5890" s="6" t="s">
        <v>14573</v>
      </c>
      <c r="E5890" s="6" t="s">
        <v>15006</v>
      </c>
      <c r="F5890" s="6" t="s">
        <v>15202</v>
      </c>
      <c r="G5890" s="6" t="s">
        <v>16</v>
      </c>
      <c r="H5890" s="5">
        <v>1</v>
      </c>
      <c r="I5890" s="6" t="s">
        <v>15202</v>
      </c>
      <c r="J5890" s="5">
        <v>270</v>
      </c>
    </row>
    <row r="5891" s="2" customFormat="1" spans="1:10">
      <c r="A5891" s="6">
        <f>5889</f>
        <v>5889</v>
      </c>
      <c r="B5891" s="6" t="s">
        <v>15203</v>
      </c>
      <c r="C5891" s="6" t="s">
        <v>12</v>
      </c>
      <c r="D5891" s="6" t="s">
        <v>14573</v>
      </c>
      <c r="E5891" s="6" t="s">
        <v>15006</v>
      </c>
      <c r="F5891" s="6" t="s">
        <v>15204</v>
      </c>
      <c r="G5891" s="6" t="s">
        <v>16</v>
      </c>
      <c r="H5891" s="5">
        <v>1</v>
      </c>
      <c r="I5891" s="6" t="s">
        <v>15204</v>
      </c>
      <c r="J5891" s="5">
        <v>270</v>
      </c>
    </row>
    <row r="5892" s="2" customFormat="1" spans="1:10">
      <c r="A5892" s="6">
        <f>5890</f>
        <v>5890</v>
      </c>
      <c r="B5892" s="6" t="s">
        <v>15205</v>
      </c>
      <c r="C5892" s="6" t="s">
        <v>12</v>
      </c>
      <c r="D5892" s="6" t="s">
        <v>14573</v>
      </c>
      <c r="E5892" s="6" t="s">
        <v>15006</v>
      </c>
      <c r="F5892" s="6" t="s">
        <v>15206</v>
      </c>
      <c r="G5892" s="6" t="s">
        <v>16</v>
      </c>
      <c r="H5892" s="5">
        <v>1</v>
      </c>
      <c r="I5892" s="6" t="s">
        <v>15206</v>
      </c>
      <c r="J5892" s="5">
        <v>360</v>
      </c>
    </row>
    <row r="5893" s="2" customFormat="1" spans="1:10">
      <c r="A5893" s="6">
        <f>5891</f>
        <v>5891</v>
      </c>
      <c r="B5893" s="6" t="s">
        <v>15207</v>
      </c>
      <c r="C5893" s="6" t="s">
        <v>12</v>
      </c>
      <c r="D5893" s="6" t="s">
        <v>14573</v>
      </c>
      <c r="E5893" s="6" t="s">
        <v>15006</v>
      </c>
      <c r="F5893" s="6" t="s">
        <v>15208</v>
      </c>
      <c r="G5893" s="6" t="s">
        <v>16</v>
      </c>
      <c r="H5893" s="5">
        <v>1</v>
      </c>
      <c r="I5893" s="6" t="s">
        <v>15208</v>
      </c>
      <c r="J5893" s="5">
        <v>270</v>
      </c>
    </row>
    <row r="5894" s="2" customFormat="1" spans="1:10">
      <c r="A5894" s="6">
        <f>5892</f>
        <v>5892</v>
      </c>
      <c r="B5894" s="6" t="s">
        <v>15209</v>
      </c>
      <c r="C5894" s="6" t="s">
        <v>12</v>
      </c>
      <c r="D5894" s="6" t="s">
        <v>14573</v>
      </c>
      <c r="E5894" s="6" t="s">
        <v>15006</v>
      </c>
      <c r="F5894" s="6" t="s">
        <v>15210</v>
      </c>
      <c r="G5894" s="6" t="s">
        <v>16</v>
      </c>
      <c r="H5894" s="5">
        <v>1</v>
      </c>
      <c r="I5894" s="6" t="s">
        <v>15210</v>
      </c>
      <c r="J5894" s="5">
        <v>270</v>
      </c>
    </row>
    <row r="5895" s="2" customFormat="1" spans="1:10">
      <c r="A5895" s="6">
        <f>5893</f>
        <v>5893</v>
      </c>
      <c r="B5895" s="6" t="s">
        <v>15211</v>
      </c>
      <c r="C5895" s="6" t="s">
        <v>12</v>
      </c>
      <c r="D5895" s="6" t="s">
        <v>14573</v>
      </c>
      <c r="E5895" s="6" t="s">
        <v>15006</v>
      </c>
      <c r="F5895" s="6" t="s">
        <v>15212</v>
      </c>
      <c r="G5895" s="6" t="s">
        <v>16</v>
      </c>
      <c r="H5895" s="5">
        <v>1</v>
      </c>
      <c r="I5895" s="6" t="s">
        <v>15212</v>
      </c>
      <c r="J5895" s="5">
        <v>270</v>
      </c>
    </row>
    <row r="5896" s="2" customFormat="1" spans="1:10">
      <c r="A5896" s="6">
        <f>5894</f>
        <v>5894</v>
      </c>
      <c r="B5896" s="6" t="s">
        <v>15213</v>
      </c>
      <c r="C5896" s="6" t="s">
        <v>12</v>
      </c>
      <c r="D5896" s="6" t="s">
        <v>14573</v>
      </c>
      <c r="E5896" s="6" t="s">
        <v>15006</v>
      </c>
      <c r="F5896" s="6" t="s">
        <v>14800</v>
      </c>
      <c r="G5896" s="6" t="s">
        <v>16</v>
      </c>
      <c r="H5896" s="5">
        <v>1</v>
      </c>
      <c r="I5896" s="6" t="s">
        <v>14800</v>
      </c>
      <c r="J5896" s="5">
        <v>420</v>
      </c>
    </row>
    <row r="5897" s="2" customFormat="1" spans="1:10">
      <c r="A5897" s="6">
        <f>5895</f>
        <v>5895</v>
      </c>
      <c r="B5897" s="6" t="s">
        <v>15214</v>
      </c>
      <c r="C5897" s="6" t="s">
        <v>12</v>
      </c>
      <c r="D5897" s="6" t="s">
        <v>14573</v>
      </c>
      <c r="E5897" s="6" t="s">
        <v>15006</v>
      </c>
      <c r="F5897" s="6" t="s">
        <v>15215</v>
      </c>
      <c r="G5897" s="6" t="s">
        <v>16</v>
      </c>
      <c r="H5897" s="5">
        <v>3</v>
      </c>
      <c r="I5897" s="6" t="s">
        <v>15216</v>
      </c>
      <c r="J5897" s="5">
        <v>675</v>
      </c>
    </row>
    <row r="5898" s="2" customFormat="1" spans="1:10">
      <c r="A5898" s="6">
        <f>5896</f>
        <v>5896</v>
      </c>
      <c r="B5898" s="6" t="s">
        <v>15217</v>
      </c>
      <c r="C5898" s="6" t="s">
        <v>12</v>
      </c>
      <c r="D5898" s="6" t="s">
        <v>14573</v>
      </c>
      <c r="E5898" s="6" t="s">
        <v>15006</v>
      </c>
      <c r="F5898" s="6" t="s">
        <v>15218</v>
      </c>
      <c r="G5898" s="6" t="s">
        <v>16</v>
      </c>
      <c r="H5898" s="5">
        <v>1</v>
      </c>
      <c r="I5898" s="6" t="s">
        <v>15218</v>
      </c>
      <c r="J5898" s="5">
        <v>400</v>
      </c>
    </row>
    <row r="5899" s="2" customFormat="1" spans="1:10">
      <c r="A5899" s="6">
        <f>5897</f>
        <v>5897</v>
      </c>
      <c r="B5899" s="6" t="s">
        <v>15219</v>
      </c>
      <c r="C5899" s="6" t="s">
        <v>12</v>
      </c>
      <c r="D5899" s="6" t="s">
        <v>14573</v>
      </c>
      <c r="E5899" s="6" t="s">
        <v>15006</v>
      </c>
      <c r="F5899" s="6" t="s">
        <v>15220</v>
      </c>
      <c r="G5899" s="6" t="s">
        <v>16</v>
      </c>
      <c r="H5899" s="5">
        <v>2</v>
      </c>
      <c r="I5899" s="6" t="s">
        <v>15221</v>
      </c>
      <c r="J5899" s="5">
        <v>421</v>
      </c>
    </row>
    <row r="5900" s="2" customFormat="1" spans="1:10">
      <c r="A5900" s="6">
        <f>5898</f>
        <v>5898</v>
      </c>
      <c r="B5900" s="6" t="s">
        <v>15222</v>
      </c>
      <c r="C5900" s="6" t="s">
        <v>12</v>
      </c>
      <c r="D5900" s="6" t="s">
        <v>14573</v>
      </c>
      <c r="E5900" s="6" t="s">
        <v>15006</v>
      </c>
      <c r="F5900" s="6" t="s">
        <v>15223</v>
      </c>
      <c r="G5900" s="6" t="s">
        <v>16</v>
      </c>
      <c r="H5900" s="5">
        <v>1</v>
      </c>
      <c r="I5900" s="6" t="s">
        <v>15223</v>
      </c>
      <c r="J5900" s="5">
        <v>270</v>
      </c>
    </row>
    <row r="5901" s="2" customFormat="1" ht="27" spans="1:10">
      <c r="A5901" s="6">
        <f>5899</f>
        <v>5899</v>
      </c>
      <c r="B5901" s="6" t="s">
        <v>15224</v>
      </c>
      <c r="C5901" s="6" t="s">
        <v>12</v>
      </c>
      <c r="D5901" s="6" t="s">
        <v>14573</v>
      </c>
      <c r="E5901" s="6" t="s">
        <v>15006</v>
      </c>
      <c r="F5901" s="6" t="s">
        <v>15225</v>
      </c>
      <c r="G5901" s="6" t="s">
        <v>16</v>
      </c>
      <c r="H5901" s="5">
        <v>4</v>
      </c>
      <c r="I5901" s="6" t="s">
        <v>15226</v>
      </c>
      <c r="J5901" s="5">
        <v>870</v>
      </c>
    </row>
    <row r="5902" s="2" customFormat="1" spans="1:10">
      <c r="A5902" s="6">
        <f>5900</f>
        <v>5900</v>
      </c>
      <c r="B5902" s="6" t="s">
        <v>15227</v>
      </c>
      <c r="C5902" s="6" t="s">
        <v>12</v>
      </c>
      <c r="D5902" s="6" t="s">
        <v>14573</v>
      </c>
      <c r="E5902" s="6" t="s">
        <v>15006</v>
      </c>
      <c r="F5902" s="6" t="s">
        <v>15228</v>
      </c>
      <c r="G5902" s="6" t="s">
        <v>16</v>
      </c>
      <c r="H5902" s="5">
        <v>2</v>
      </c>
      <c r="I5902" s="6" t="s">
        <v>15229</v>
      </c>
      <c r="J5902" s="5">
        <v>560</v>
      </c>
    </row>
    <row r="5903" s="2" customFormat="1" spans="1:10">
      <c r="A5903" s="6">
        <f>5901</f>
        <v>5901</v>
      </c>
      <c r="B5903" s="6" t="s">
        <v>15230</v>
      </c>
      <c r="C5903" s="6" t="s">
        <v>12</v>
      </c>
      <c r="D5903" s="6" t="s">
        <v>14573</v>
      </c>
      <c r="E5903" s="6" t="s">
        <v>15006</v>
      </c>
      <c r="F5903" s="6" t="s">
        <v>15231</v>
      </c>
      <c r="G5903" s="6" t="s">
        <v>16</v>
      </c>
      <c r="H5903" s="5">
        <v>1</v>
      </c>
      <c r="I5903" s="6" t="s">
        <v>15231</v>
      </c>
      <c r="J5903" s="5">
        <v>270</v>
      </c>
    </row>
    <row r="5904" s="2" customFormat="1" spans="1:10">
      <c r="A5904" s="6">
        <f>5902</f>
        <v>5902</v>
      </c>
      <c r="B5904" s="6" t="s">
        <v>15232</v>
      </c>
      <c r="C5904" s="6" t="s">
        <v>12</v>
      </c>
      <c r="D5904" s="6" t="s">
        <v>14573</v>
      </c>
      <c r="E5904" s="6" t="s">
        <v>15006</v>
      </c>
      <c r="F5904" s="6" t="s">
        <v>15233</v>
      </c>
      <c r="G5904" s="6" t="s">
        <v>16</v>
      </c>
      <c r="H5904" s="5">
        <v>3</v>
      </c>
      <c r="I5904" s="6" t="s">
        <v>15234</v>
      </c>
      <c r="J5904" s="5">
        <v>720</v>
      </c>
    </row>
    <row r="5905" s="2" customFormat="1" spans="1:10">
      <c r="A5905" s="6">
        <f>5903</f>
        <v>5903</v>
      </c>
      <c r="B5905" s="6" t="s">
        <v>15235</v>
      </c>
      <c r="C5905" s="6" t="s">
        <v>12</v>
      </c>
      <c r="D5905" s="6" t="s">
        <v>14573</v>
      </c>
      <c r="E5905" s="6" t="s">
        <v>15006</v>
      </c>
      <c r="F5905" s="6" t="s">
        <v>15236</v>
      </c>
      <c r="G5905" s="6" t="s">
        <v>16</v>
      </c>
      <c r="H5905" s="5">
        <v>1</v>
      </c>
      <c r="I5905" s="6" t="s">
        <v>15236</v>
      </c>
      <c r="J5905" s="5">
        <v>270</v>
      </c>
    </row>
    <row r="5906" s="2" customFormat="1" spans="1:10">
      <c r="A5906" s="6">
        <f>5904</f>
        <v>5904</v>
      </c>
      <c r="B5906" s="6" t="s">
        <v>15237</v>
      </c>
      <c r="C5906" s="6" t="s">
        <v>12</v>
      </c>
      <c r="D5906" s="6" t="s">
        <v>14573</v>
      </c>
      <c r="E5906" s="6" t="s">
        <v>15006</v>
      </c>
      <c r="F5906" s="6" t="s">
        <v>15238</v>
      </c>
      <c r="G5906" s="6" t="s">
        <v>16</v>
      </c>
      <c r="H5906" s="5">
        <v>1</v>
      </c>
      <c r="I5906" s="6" t="s">
        <v>15238</v>
      </c>
      <c r="J5906" s="5">
        <v>270</v>
      </c>
    </row>
    <row r="5907" s="2" customFormat="1" spans="1:10">
      <c r="A5907" s="6">
        <f>5905</f>
        <v>5905</v>
      </c>
      <c r="B5907" s="6" t="s">
        <v>15239</v>
      </c>
      <c r="C5907" s="6" t="s">
        <v>12</v>
      </c>
      <c r="D5907" s="6" t="s">
        <v>14573</v>
      </c>
      <c r="E5907" s="6" t="s">
        <v>15006</v>
      </c>
      <c r="F5907" s="6" t="s">
        <v>15240</v>
      </c>
      <c r="G5907" s="6" t="s">
        <v>16</v>
      </c>
      <c r="H5907" s="5">
        <v>1</v>
      </c>
      <c r="I5907" s="6" t="s">
        <v>15240</v>
      </c>
      <c r="J5907" s="5">
        <v>370</v>
      </c>
    </row>
    <row r="5908" s="2" customFormat="1" ht="27" spans="1:10">
      <c r="A5908" s="6">
        <f>5906</f>
        <v>5906</v>
      </c>
      <c r="B5908" s="6" t="s">
        <v>15241</v>
      </c>
      <c r="C5908" s="6" t="s">
        <v>12</v>
      </c>
      <c r="D5908" s="6" t="s">
        <v>14573</v>
      </c>
      <c r="E5908" s="6" t="s">
        <v>15006</v>
      </c>
      <c r="F5908" s="6" t="s">
        <v>15242</v>
      </c>
      <c r="G5908" s="6" t="s">
        <v>16</v>
      </c>
      <c r="H5908" s="5">
        <v>6</v>
      </c>
      <c r="I5908" s="6" t="s">
        <v>15243</v>
      </c>
      <c r="J5908" s="5">
        <v>570</v>
      </c>
    </row>
    <row r="5909" s="2" customFormat="1" spans="1:10">
      <c r="A5909" s="6">
        <f>5907</f>
        <v>5907</v>
      </c>
      <c r="B5909" s="6" t="s">
        <v>15244</v>
      </c>
      <c r="C5909" s="6" t="s">
        <v>12</v>
      </c>
      <c r="D5909" s="6" t="s">
        <v>14573</v>
      </c>
      <c r="E5909" s="6" t="s">
        <v>15006</v>
      </c>
      <c r="F5909" s="6" t="s">
        <v>15245</v>
      </c>
      <c r="G5909" s="6" t="s">
        <v>16</v>
      </c>
      <c r="H5909" s="5">
        <v>1</v>
      </c>
      <c r="I5909" s="6" t="s">
        <v>15245</v>
      </c>
      <c r="J5909" s="5">
        <v>270</v>
      </c>
    </row>
    <row r="5910" s="2" customFormat="1" spans="1:10">
      <c r="A5910" s="6">
        <f>5908</f>
        <v>5908</v>
      </c>
      <c r="B5910" s="6" t="s">
        <v>15246</v>
      </c>
      <c r="C5910" s="6" t="s">
        <v>12</v>
      </c>
      <c r="D5910" s="6" t="s">
        <v>14573</v>
      </c>
      <c r="E5910" s="6" t="s">
        <v>15006</v>
      </c>
      <c r="F5910" s="6" t="s">
        <v>15247</v>
      </c>
      <c r="G5910" s="6" t="s">
        <v>16</v>
      </c>
      <c r="H5910" s="5">
        <v>1</v>
      </c>
      <c r="I5910" s="6" t="s">
        <v>15247</v>
      </c>
      <c r="J5910" s="5">
        <v>270</v>
      </c>
    </row>
    <row r="5911" s="2" customFormat="1" spans="1:10">
      <c r="A5911" s="6">
        <f>5909</f>
        <v>5909</v>
      </c>
      <c r="B5911" s="6" t="s">
        <v>15248</v>
      </c>
      <c r="C5911" s="6" t="s">
        <v>12</v>
      </c>
      <c r="D5911" s="6" t="s">
        <v>14573</v>
      </c>
      <c r="E5911" s="6" t="s">
        <v>15006</v>
      </c>
      <c r="F5911" s="6" t="s">
        <v>15249</v>
      </c>
      <c r="G5911" s="6" t="s">
        <v>16</v>
      </c>
      <c r="H5911" s="5">
        <v>3</v>
      </c>
      <c r="I5911" s="6" t="s">
        <v>15250</v>
      </c>
      <c r="J5911" s="5">
        <v>338</v>
      </c>
    </row>
    <row r="5912" s="2" customFormat="1" spans="1:10">
      <c r="A5912" s="6">
        <f>5910</f>
        <v>5910</v>
      </c>
      <c r="B5912" s="6" t="s">
        <v>15251</v>
      </c>
      <c r="C5912" s="6" t="s">
        <v>12</v>
      </c>
      <c r="D5912" s="6" t="s">
        <v>14573</v>
      </c>
      <c r="E5912" s="6" t="s">
        <v>15006</v>
      </c>
      <c r="F5912" s="6" t="s">
        <v>15252</v>
      </c>
      <c r="G5912" s="6" t="s">
        <v>16</v>
      </c>
      <c r="H5912" s="5">
        <v>1</v>
      </c>
      <c r="I5912" s="6" t="s">
        <v>15252</v>
      </c>
      <c r="J5912" s="5">
        <v>270</v>
      </c>
    </row>
    <row r="5913" s="2" customFormat="1" spans="1:10">
      <c r="A5913" s="6">
        <f>5911</f>
        <v>5911</v>
      </c>
      <c r="B5913" s="6" t="s">
        <v>15253</v>
      </c>
      <c r="C5913" s="6" t="s">
        <v>12</v>
      </c>
      <c r="D5913" s="6" t="s">
        <v>14573</v>
      </c>
      <c r="E5913" s="6" t="s">
        <v>15006</v>
      </c>
      <c r="F5913" s="6" t="s">
        <v>15254</v>
      </c>
      <c r="G5913" s="6" t="s">
        <v>16</v>
      </c>
      <c r="H5913" s="5">
        <v>2</v>
      </c>
      <c r="I5913" s="6" t="s">
        <v>15255</v>
      </c>
      <c r="J5913" s="5">
        <v>426</v>
      </c>
    </row>
    <row r="5914" s="2" customFormat="1" spans="1:10">
      <c r="A5914" s="6">
        <f>5912</f>
        <v>5912</v>
      </c>
      <c r="B5914" s="6" t="s">
        <v>15256</v>
      </c>
      <c r="C5914" s="6" t="s">
        <v>12</v>
      </c>
      <c r="D5914" s="6" t="s">
        <v>14573</v>
      </c>
      <c r="E5914" s="6" t="s">
        <v>15006</v>
      </c>
      <c r="F5914" s="6" t="s">
        <v>15257</v>
      </c>
      <c r="G5914" s="6" t="s">
        <v>16</v>
      </c>
      <c r="H5914" s="5">
        <v>1</v>
      </c>
      <c r="I5914" s="6" t="s">
        <v>15257</v>
      </c>
      <c r="J5914" s="5">
        <v>366</v>
      </c>
    </row>
    <row r="5915" s="2" customFormat="1" spans="1:10">
      <c r="A5915" s="6">
        <f>5913</f>
        <v>5913</v>
      </c>
      <c r="B5915" s="6" t="s">
        <v>15258</v>
      </c>
      <c r="C5915" s="6" t="s">
        <v>12</v>
      </c>
      <c r="D5915" s="6" t="s">
        <v>14573</v>
      </c>
      <c r="E5915" s="6" t="s">
        <v>15006</v>
      </c>
      <c r="F5915" s="6" t="s">
        <v>15259</v>
      </c>
      <c r="G5915" s="6" t="s">
        <v>16</v>
      </c>
      <c r="H5915" s="5">
        <v>1</v>
      </c>
      <c r="I5915" s="6" t="s">
        <v>15259</v>
      </c>
      <c r="J5915" s="5">
        <v>243</v>
      </c>
    </row>
    <row r="5916" s="2" customFormat="1" spans="1:10">
      <c r="A5916" s="6">
        <f>5914</f>
        <v>5914</v>
      </c>
      <c r="B5916" s="6" t="s">
        <v>15260</v>
      </c>
      <c r="C5916" s="6" t="s">
        <v>12</v>
      </c>
      <c r="D5916" s="6" t="s">
        <v>14573</v>
      </c>
      <c r="E5916" s="6" t="s">
        <v>15006</v>
      </c>
      <c r="F5916" s="6" t="s">
        <v>15261</v>
      </c>
      <c r="G5916" s="6" t="s">
        <v>16</v>
      </c>
      <c r="H5916" s="5">
        <v>1</v>
      </c>
      <c r="I5916" s="6" t="s">
        <v>15261</v>
      </c>
      <c r="J5916" s="5">
        <v>312</v>
      </c>
    </row>
    <row r="5917" s="2" customFormat="1" spans="1:10">
      <c r="A5917" s="6">
        <f>5915</f>
        <v>5915</v>
      </c>
      <c r="B5917" s="6" t="s">
        <v>15262</v>
      </c>
      <c r="C5917" s="6" t="s">
        <v>12</v>
      </c>
      <c r="D5917" s="6" t="s">
        <v>14573</v>
      </c>
      <c r="E5917" s="6" t="s">
        <v>15006</v>
      </c>
      <c r="F5917" s="6" t="s">
        <v>15263</v>
      </c>
      <c r="G5917" s="6" t="s">
        <v>16</v>
      </c>
      <c r="H5917" s="5">
        <v>1</v>
      </c>
      <c r="I5917" s="6" t="s">
        <v>15263</v>
      </c>
      <c r="J5917" s="5">
        <v>260</v>
      </c>
    </row>
    <row r="5918" s="2" customFormat="1" spans="1:10">
      <c r="A5918" s="6">
        <f>5916</f>
        <v>5916</v>
      </c>
      <c r="B5918" s="6" t="s">
        <v>15264</v>
      </c>
      <c r="C5918" s="6" t="s">
        <v>12</v>
      </c>
      <c r="D5918" s="6" t="s">
        <v>14573</v>
      </c>
      <c r="E5918" s="6" t="s">
        <v>15006</v>
      </c>
      <c r="F5918" s="6" t="s">
        <v>15265</v>
      </c>
      <c r="G5918" s="6" t="s">
        <v>16</v>
      </c>
      <c r="H5918" s="5">
        <v>2</v>
      </c>
      <c r="I5918" s="6" t="s">
        <v>15266</v>
      </c>
      <c r="J5918" s="5">
        <v>540</v>
      </c>
    </row>
    <row r="5919" s="2" customFormat="1" ht="27" spans="1:10">
      <c r="A5919" s="6">
        <f>5917</f>
        <v>5917</v>
      </c>
      <c r="B5919" s="6" t="s">
        <v>15267</v>
      </c>
      <c r="C5919" s="6" t="s">
        <v>12</v>
      </c>
      <c r="D5919" s="6" t="s">
        <v>14573</v>
      </c>
      <c r="E5919" s="6" t="s">
        <v>15006</v>
      </c>
      <c r="F5919" s="6" t="s">
        <v>15268</v>
      </c>
      <c r="G5919" s="6" t="s">
        <v>16</v>
      </c>
      <c r="H5919" s="5">
        <v>4</v>
      </c>
      <c r="I5919" s="6" t="s">
        <v>15269</v>
      </c>
      <c r="J5919" s="5">
        <v>350</v>
      </c>
    </row>
    <row r="5920" s="2" customFormat="1" spans="1:10">
      <c r="A5920" s="6">
        <f>5918</f>
        <v>5918</v>
      </c>
      <c r="B5920" s="6" t="s">
        <v>15270</v>
      </c>
      <c r="C5920" s="6" t="s">
        <v>12</v>
      </c>
      <c r="D5920" s="6" t="s">
        <v>14573</v>
      </c>
      <c r="E5920" s="6" t="s">
        <v>15006</v>
      </c>
      <c r="F5920" s="6" t="s">
        <v>15271</v>
      </c>
      <c r="G5920" s="6" t="s">
        <v>16</v>
      </c>
      <c r="H5920" s="5">
        <v>1</v>
      </c>
      <c r="I5920" s="6" t="s">
        <v>15271</v>
      </c>
      <c r="J5920" s="5">
        <v>270</v>
      </c>
    </row>
    <row r="5921" s="2" customFormat="1" spans="1:10">
      <c r="A5921" s="6">
        <f>5919</f>
        <v>5919</v>
      </c>
      <c r="B5921" s="6" t="s">
        <v>15272</v>
      </c>
      <c r="C5921" s="6" t="s">
        <v>12</v>
      </c>
      <c r="D5921" s="6" t="s">
        <v>14573</v>
      </c>
      <c r="E5921" s="6" t="s">
        <v>15006</v>
      </c>
      <c r="F5921" s="6" t="s">
        <v>15273</v>
      </c>
      <c r="G5921" s="6" t="s">
        <v>16</v>
      </c>
      <c r="H5921" s="5">
        <v>2</v>
      </c>
      <c r="I5921" s="6" t="s">
        <v>15274</v>
      </c>
      <c r="J5921" s="5">
        <v>740</v>
      </c>
    </row>
    <row r="5922" s="2" customFormat="1" ht="27" spans="1:10">
      <c r="A5922" s="6">
        <f>5920</f>
        <v>5920</v>
      </c>
      <c r="B5922" s="6" t="s">
        <v>15275</v>
      </c>
      <c r="C5922" s="6" t="s">
        <v>12</v>
      </c>
      <c r="D5922" s="6" t="s">
        <v>14573</v>
      </c>
      <c r="E5922" s="6" t="s">
        <v>15006</v>
      </c>
      <c r="F5922" s="6" t="s">
        <v>15276</v>
      </c>
      <c r="G5922" s="6" t="s">
        <v>16</v>
      </c>
      <c r="H5922" s="5">
        <v>6</v>
      </c>
      <c r="I5922" s="6" t="s">
        <v>15277</v>
      </c>
      <c r="J5922" s="5">
        <v>990</v>
      </c>
    </row>
    <row r="5923" s="2" customFormat="1" spans="1:10">
      <c r="A5923" s="6">
        <f>5921</f>
        <v>5921</v>
      </c>
      <c r="B5923" s="6" t="s">
        <v>15278</v>
      </c>
      <c r="C5923" s="6" t="s">
        <v>12</v>
      </c>
      <c r="D5923" s="6" t="s">
        <v>14573</v>
      </c>
      <c r="E5923" s="6" t="s">
        <v>15006</v>
      </c>
      <c r="F5923" s="6" t="s">
        <v>15279</v>
      </c>
      <c r="G5923" s="6" t="s">
        <v>16</v>
      </c>
      <c r="H5923" s="5">
        <v>1</v>
      </c>
      <c r="I5923" s="6" t="s">
        <v>15279</v>
      </c>
      <c r="J5923" s="5">
        <v>500</v>
      </c>
    </row>
    <row r="5924" s="2" customFormat="1" ht="27" spans="1:10">
      <c r="A5924" s="6">
        <f>5922</f>
        <v>5922</v>
      </c>
      <c r="B5924" s="6" t="s">
        <v>15280</v>
      </c>
      <c r="C5924" s="6" t="s">
        <v>12</v>
      </c>
      <c r="D5924" s="6" t="s">
        <v>14573</v>
      </c>
      <c r="E5924" s="6" t="s">
        <v>15281</v>
      </c>
      <c r="F5924" s="6" t="s">
        <v>15282</v>
      </c>
      <c r="G5924" s="6" t="s">
        <v>16</v>
      </c>
      <c r="H5924" s="5">
        <v>5</v>
      </c>
      <c r="I5924" s="6" t="s">
        <v>15283</v>
      </c>
      <c r="J5924" s="5">
        <v>600</v>
      </c>
    </row>
    <row r="5925" s="2" customFormat="1" spans="1:10">
      <c r="A5925" s="6">
        <f>5923</f>
        <v>5923</v>
      </c>
      <c r="B5925" s="6" t="s">
        <v>15284</v>
      </c>
      <c r="C5925" s="6" t="s">
        <v>12</v>
      </c>
      <c r="D5925" s="6" t="s">
        <v>14573</v>
      </c>
      <c r="E5925" s="6" t="s">
        <v>15281</v>
      </c>
      <c r="F5925" s="6" t="s">
        <v>15285</v>
      </c>
      <c r="G5925" s="6" t="s">
        <v>16</v>
      </c>
      <c r="H5925" s="5">
        <v>1</v>
      </c>
      <c r="I5925" s="6" t="s">
        <v>15285</v>
      </c>
      <c r="J5925" s="5">
        <v>320</v>
      </c>
    </row>
    <row r="5926" s="2" customFormat="1" spans="1:10">
      <c r="A5926" s="6">
        <f>5924</f>
        <v>5924</v>
      </c>
      <c r="B5926" s="6" t="s">
        <v>15286</v>
      </c>
      <c r="C5926" s="6" t="s">
        <v>12</v>
      </c>
      <c r="D5926" s="6" t="s">
        <v>14573</v>
      </c>
      <c r="E5926" s="6" t="s">
        <v>15281</v>
      </c>
      <c r="F5926" s="6" t="s">
        <v>15287</v>
      </c>
      <c r="G5926" s="6" t="s">
        <v>16</v>
      </c>
      <c r="H5926" s="5">
        <v>2</v>
      </c>
      <c r="I5926" s="6" t="s">
        <v>15288</v>
      </c>
      <c r="J5926" s="5">
        <v>770</v>
      </c>
    </row>
    <row r="5927" s="2" customFormat="1" ht="27" spans="1:10">
      <c r="A5927" s="6">
        <f>5925</f>
        <v>5925</v>
      </c>
      <c r="B5927" s="6" t="s">
        <v>15289</v>
      </c>
      <c r="C5927" s="6" t="s">
        <v>12</v>
      </c>
      <c r="D5927" s="6" t="s">
        <v>14573</v>
      </c>
      <c r="E5927" s="6" t="s">
        <v>15281</v>
      </c>
      <c r="F5927" s="6" t="s">
        <v>15290</v>
      </c>
      <c r="G5927" s="6" t="s">
        <v>16</v>
      </c>
      <c r="H5927" s="5">
        <v>5</v>
      </c>
      <c r="I5927" s="6" t="s">
        <v>15291</v>
      </c>
      <c r="J5927" s="5">
        <v>900</v>
      </c>
    </row>
    <row r="5928" s="2" customFormat="1" ht="27" spans="1:10">
      <c r="A5928" s="6">
        <f>5926</f>
        <v>5926</v>
      </c>
      <c r="B5928" s="6" t="s">
        <v>15292</v>
      </c>
      <c r="C5928" s="6" t="s">
        <v>12</v>
      </c>
      <c r="D5928" s="6" t="s">
        <v>14573</v>
      </c>
      <c r="E5928" s="6" t="s">
        <v>15281</v>
      </c>
      <c r="F5928" s="6" t="s">
        <v>15293</v>
      </c>
      <c r="G5928" s="6" t="s">
        <v>16</v>
      </c>
      <c r="H5928" s="5">
        <v>4</v>
      </c>
      <c r="I5928" s="6" t="s">
        <v>15294</v>
      </c>
      <c r="J5928" s="5">
        <v>440</v>
      </c>
    </row>
    <row r="5929" s="2" customFormat="1" ht="27" spans="1:10">
      <c r="A5929" s="6">
        <f>5927</f>
        <v>5927</v>
      </c>
      <c r="B5929" s="6" t="s">
        <v>15295</v>
      </c>
      <c r="C5929" s="6" t="s">
        <v>12</v>
      </c>
      <c r="D5929" s="6" t="s">
        <v>14573</v>
      </c>
      <c r="E5929" s="6" t="s">
        <v>15281</v>
      </c>
      <c r="F5929" s="6" t="s">
        <v>15296</v>
      </c>
      <c r="G5929" s="6" t="s">
        <v>16</v>
      </c>
      <c r="H5929" s="5">
        <v>4</v>
      </c>
      <c r="I5929" s="6" t="s">
        <v>15297</v>
      </c>
      <c r="J5929" s="5">
        <v>590</v>
      </c>
    </row>
    <row r="5930" s="2" customFormat="1" spans="1:10">
      <c r="A5930" s="6">
        <f>5928</f>
        <v>5928</v>
      </c>
      <c r="B5930" s="6" t="s">
        <v>15298</v>
      </c>
      <c r="C5930" s="6" t="s">
        <v>12</v>
      </c>
      <c r="D5930" s="6" t="s">
        <v>14573</v>
      </c>
      <c r="E5930" s="6" t="s">
        <v>15281</v>
      </c>
      <c r="F5930" s="6" t="s">
        <v>15299</v>
      </c>
      <c r="G5930" s="6" t="s">
        <v>16</v>
      </c>
      <c r="H5930" s="5">
        <v>1</v>
      </c>
      <c r="I5930" s="6" t="s">
        <v>15299</v>
      </c>
      <c r="J5930" s="5">
        <v>320</v>
      </c>
    </row>
    <row r="5931" s="2" customFormat="1" spans="1:10">
      <c r="A5931" s="6">
        <f>5929</f>
        <v>5929</v>
      </c>
      <c r="B5931" s="6" t="s">
        <v>15300</v>
      </c>
      <c r="C5931" s="6" t="s">
        <v>12</v>
      </c>
      <c r="D5931" s="6" t="s">
        <v>14573</v>
      </c>
      <c r="E5931" s="6" t="s">
        <v>15281</v>
      </c>
      <c r="F5931" s="6" t="s">
        <v>15301</v>
      </c>
      <c r="G5931" s="6" t="s">
        <v>16</v>
      </c>
      <c r="H5931" s="5">
        <v>1</v>
      </c>
      <c r="I5931" s="6" t="s">
        <v>15301</v>
      </c>
      <c r="J5931" s="5">
        <v>620</v>
      </c>
    </row>
    <row r="5932" s="2" customFormat="1" ht="27" spans="1:10">
      <c r="A5932" s="6">
        <f>5930</f>
        <v>5930</v>
      </c>
      <c r="B5932" s="6" t="s">
        <v>15302</v>
      </c>
      <c r="C5932" s="6" t="s">
        <v>12</v>
      </c>
      <c r="D5932" s="6" t="s">
        <v>14573</v>
      </c>
      <c r="E5932" s="6" t="s">
        <v>15281</v>
      </c>
      <c r="F5932" s="6" t="s">
        <v>15303</v>
      </c>
      <c r="G5932" s="6" t="s">
        <v>16</v>
      </c>
      <c r="H5932" s="5">
        <v>4</v>
      </c>
      <c r="I5932" s="6" t="s">
        <v>15304</v>
      </c>
      <c r="J5932" s="5">
        <v>1040</v>
      </c>
    </row>
    <row r="5933" s="2" customFormat="1" spans="1:10">
      <c r="A5933" s="6">
        <f>5931</f>
        <v>5931</v>
      </c>
      <c r="B5933" s="6" t="s">
        <v>15305</v>
      </c>
      <c r="C5933" s="6" t="s">
        <v>12</v>
      </c>
      <c r="D5933" s="6" t="s">
        <v>14573</v>
      </c>
      <c r="E5933" s="6" t="s">
        <v>15281</v>
      </c>
      <c r="F5933" s="6" t="s">
        <v>15306</v>
      </c>
      <c r="G5933" s="6" t="s">
        <v>16</v>
      </c>
      <c r="H5933" s="5">
        <v>3</v>
      </c>
      <c r="I5933" s="6" t="s">
        <v>15307</v>
      </c>
      <c r="J5933" s="5">
        <v>820</v>
      </c>
    </row>
    <row r="5934" s="2" customFormat="1" spans="1:10">
      <c r="A5934" s="6">
        <f>5932</f>
        <v>5932</v>
      </c>
      <c r="B5934" s="6" t="s">
        <v>15308</v>
      </c>
      <c r="C5934" s="6" t="s">
        <v>12</v>
      </c>
      <c r="D5934" s="6" t="s">
        <v>14573</v>
      </c>
      <c r="E5934" s="6" t="s">
        <v>15281</v>
      </c>
      <c r="F5934" s="6" t="s">
        <v>15309</v>
      </c>
      <c r="G5934" s="6" t="s">
        <v>16</v>
      </c>
      <c r="H5934" s="5">
        <v>1</v>
      </c>
      <c r="I5934" s="6" t="s">
        <v>15309</v>
      </c>
      <c r="J5934" s="5">
        <v>340</v>
      </c>
    </row>
    <row r="5935" s="2" customFormat="1" ht="27" spans="1:10">
      <c r="A5935" s="6">
        <f>5933</f>
        <v>5933</v>
      </c>
      <c r="B5935" s="6" t="s">
        <v>15310</v>
      </c>
      <c r="C5935" s="6" t="s">
        <v>12</v>
      </c>
      <c r="D5935" s="6" t="s">
        <v>14573</v>
      </c>
      <c r="E5935" s="6" t="s">
        <v>15281</v>
      </c>
      <c r="F5935" s="6" t="s">
        <v>15311</v>
      </c>
      <c r="G5935" s="6" t="s">
        <v>16</v>
      </c>
      <c r="H5935" s="5">
        <v>5</v>
      </c>
      <c r="I5935" s="6" t="s">
        <v>15312</v>
      </c>
      <c r="J5935" s="5">
        <v>520</v>
      </c>
    </row>
    <row r="5936" s="2" customFormat="1" spans="1:10">
      <c r="A5936" s="6">
        <f>5934</f>
        <v>5934</v>
      </c>
      <c r="B5936" s="6" t="s">
        <v>15313</v>
      </c>
      <c r="C5936" s="6" t="s">
        <v>12</v>
      </c>
      <c r="D5936" s="6" t="s">
        <v>14573</v>
      </c>
      <c r="E5936" s="6" t="s">
        <v>15281</v>
      </c>
      <c r="F5936" s="6" t="s">
        <v>15314</v>
      </c>
      <c r="G5936" s="6" t="s">
        <v>16</v>
      </c>
      <c r="H5936" s="5">
        <v>1</v>
      </c>
      <c r="I5936" s="6" t="s">
        <v>15314</v>
      </c>
      <c r="J5936" s="5">
        <v>260</v>
      </c>
    </row>
    <row r="5937" s="2" customFormat="1" spans="1:10">
      <c r="A5937" s="6">
        <f>5935</f>
        <v>5935</v>
      </c>
      <c r="B5937" s="6" t="s">
        <v>15315</v>
      </c>
      <c r="C5937" s="6" t="s">
        <v>12</v>
      </c>
      <c r="D5937" s="6" t="s">
        <v>14573</v>
      </c>
      <c r="E5937" s="6" t="s">
        <v>15281</v>
      </c>
      <c r="F5937" s="6" t="s">
        <v>15316</v>
      </c>
      <c r="G5937" s="6" t="s">
        <v>16</v>
      </c>
      <c r="H5937" s="5">
        <v>1</v>
      </c>
      <c r="I5937" s="6" t="s">
        <v>15316</v>
      </c>
      <c r="J5937" s="5">
        <v>480</v>
      </c>
    </row>
    <row r="5938" s="2" customFormat="1" spans="1:10">
      <c r="A5938" s="6">
        <f>5936</f>
        <v>5936</v>
      </c>
      <c r="B5938" s="6" t="s">
        <v>15317</v>
      </c>
      <c r="C5938" s="6" t="s">
        <v>12</v>
      </c>
      <c r="D5938" s="6" t="s">
        <v>14573</v>
      </c>
      <c r="E5938" s="6" t="s">
        <v>15281</v>
      </c>
      <c r="F5938" s="6" t="s">
        <v>15318</v>
      </c>
      <c r="G5938" s="6" t="s">
        <v>16</v>
      </c>
      <c r="H5938" s="5">
        <v>3</v>
      </c>
      <c r="I5938" s="6" t="s">
        <v>15319</v>
      </c>
      <c r="J5938" s="5">
        <v>720</v>
      </c>
    </row>
    <row r="5939" s="2" customFormat="1" spans="1:10">
      <c r="A5939" s="6">
        <f>5937</f>
        <v>5937</v>
      </c>
      <c r="B5939" s="6" t="s">
        <v>15320</v>
      </c>
      <c r="C5939" s="6" t="s">
        <v>12</v>
      </c>
      <c r="D5939" s="6" t="s">
        <v>14573</v>
      </c>
      <c r="E5939" s="6" t="s">
        <v>15281</v>
      </c>
      <c r="F5939" s="6" t="s">
        <v>15321</v>
      </c>
      <c r="G5939" s="6" t="s">
        <v>16</v>
      </c>
      <c r="H5939" s="5">
        <v>1</v>
      </c>
      <c r="I5939" s="6" t="s">
        <v>15321</v>
      </c>
      <c r="J5939" s="5">
        <v>200</v>
      </c>
    </row>
    <row r="5940" s="2" customFormat="1" spans="1:10">
      <c r="A5940" s="6">
        <f>5938</f>
        <v>5938</v>
      </c>
      <c r="B5940" s="6" t="s">
        <v>15322</v>
      </c>
      <c r="C5940" s="6" t="s">
        <v>12</v>
      </c>
      <c r="D5940" s="6" t="s">
        <v>14573</v>
      </c>
      <c r="E5940" s="6" t="s">
        <v>15281</v>
      </c>
      <c r="F5940" s="6" t="s">
        <v>15323</v>
      </c>
      <c r="G5940" s="6" t="s">
        <v>16</v>
      </c>
      <c r="H5940" s="5">
        <v>3</v>
      </c>
      <c r="I5940" s="6" t="s">
        <v>15324</v>
      </c>
      <c r="J5940" s="5">
        <v>960</v>
      </c>
    </row>
    <row r="5941" s="2" customFormat="1" spans="1:10">
      <c r="A5941" s="6">
        <f>5939</f>
        <v>5939</v>
      </c>
      <c r="B5941" s="6" t="s">
        <v>15325</v>
      </c>
      <c r="C5941" s="6" t="s">
        <v>12</v>
      </c>
      <c r="D5941" s="6" t="s">
        <v>14573</v>
      </c>
      <c r="E5941" s="6" t="s">
        <v>15281</v>
      </c>
      <c r="F5941" s="6" t="s">
        <v>15326</v>
      </c>
      <c r="G5941" s="6" t="s">
        <v>16</v>
      </c>
      <c r="H5941" s="5">
        <v>2</v>
      </c>
      <c r="I5941" s="6" t="s">
        <v>15327</v>
      </c>
      <c r="J5941" s="5">
        <v>460</v>
      </c>
    </row>
    <row r="5942" s="2" customFormat="1" spans="1:10">
      <c r="A5942" s="6">
        <f>5940</f>
        <v>5940</v>
      </c>
      <c r="B5942" s="6" t="s">
        <v>15328</v>
      </c>
      <c r="C5942" s="6" t="s">
        <v>12</v>
      </c>
      <c r="D5942" s="6" t="s">
        <v>14573</v>
      </c>
      <c r="E5942" s="6" t="s">
        <v>15281</v>
      </c>
      <c r="F5942" s="6" t="s">
        <v>15329</v>
      </c>
      <c r="G5942" s="6" t="s">
        <v>16</v>
      </c>
      <c r="H5942" s="5">
        <v>1</v>
      </c>
      <c r="I5942" s="6" t="s">
        <v>15329</v>
      </c>
      <c r="J5942" s="5">
        <v>460</v>
      </c>
    </row>
    <row r="5943" s="2" customFormat="1" spans="1:10">
      <c r="A5943" s="6">
        <f>5941</f>
        <v>5941</v>
      </c>
      <c r="B5943" s="6" t="s">
        <v>15330</v>
      </c>
      <c r="C5943" s="6" t="s">
        <v>12</v>
      </c>
      <c r="D5943" s="6" t="s">
        <v>14573</v>
      </c>
      <c r="E5943" s="6" t="s">
        <v>15281</v>
      </c>
      <c r="F5943" s="6" t="s">
        <v>15331</v>
      </c>
      <c r="G5943" s="6" t="s">
        <v>16</v>
      </c>
      <c r="H5943" s="5">
        <v>2</v>
      </c>
      <c r="I5943" s="6" t="s">
        <v>15332</v>
      </c>
      <c r="J5943" s="5">
        <v>948</v>
      </c>
    </row>
    <row r="5944" s="2" customFormat="1" spans="1:10">
      <c r="A5944" s="6">
        <f>5942</f>
        <v>5942</v>
      </c>
      <c r="B5944" s="6" t="s">
        <v>15333</v>
      </c>
      <c r="C5944" s="6" t="s">
        <v>12</v>
      </c>
      <c r="D5944" s="6" t="s">
        <v>14573</v>
      </c>
      <c r="E5944" s="6" t="s">
        <v>15281</v>
      </c>
      <c r="F5944" s="6" t="s">
        <v>15334</v>
      </c>
      <c r="G5944" s="6" t="s">
        <v>16</v>
      </c>
      <c r="H5944" s="5">
        <v>1</v>
      </c>
      <c r="I5944" s="6" t="s">
        <v>15334</v>
      </c>
      <c r="J5944" s="5">
        <v>270</v>
      </c>
    </row>
    <row r="5945" s="2" customFormat="1" spans="1:10">
      <c r="A5945" s="6">
        <f>5943</f>
        <v>5943</v>
      </c>
      <c r="B5945" s="6" t="s">
        <v>15335</v>
      </c>
      <c r="C5945" s="6" t="s">
        <v>12</v>
      </c>
      <c r="D5945" s="6" t="s">
        <v>14573</v>
      </c>
      <c r="E5945" s="6" t="s">
        <v>15281</v>
      </c>
      <c r="F5945" s="6" t="s">
        <v>15336</v>
      </c>
      <c r="G5945" s="6" t="s">
        <v>16</v>
      </c>
      <c r="H5945" s="5">
        <v>1</v>
      </c>
      <c r="I5945" s="6" t="s">
        <v>15336</v>
      </c>
      <c r="J5945" s="5">
        <v>280</v>
      </c>
    </row>
    <row r="5946" s="2" customFormat="1" spans="1:10">
      <c r="A5946" s="6">
        <f>5944</f>
        <v>5944</v>
      </c>
      <c r="B5946" s="6" t="s">
        <v>15337</v>
      </c>
      <c r="C5946" s="6" t="s">
        <v>12</v>
      </c>
      <c r="D5946" s="6" t="s">
        <v>14573</v>
      </c>
      <c r="E5946" s="6" t="s">
        <v>15281</v>
      </c>
      <c r="F5946" s="6" t="s">
        <v>15338</v>
      </c>
      <c r="G5946" s="6" t="s">
        <v>16</v>
      </c>
      <c r="H5946" s="5">
        <v>1</v>
      </c>
      <c r="I5946" s="6" t="s">
        <v>15338</v>
      </c>
      <c r="J5946" s="5">
        <v>368</v>
      </c>
    </row>
    <row r="5947" s="2" customFormat="1" ht="27" spans="1:10">
      <c r="A5947" s="6">
        <f>5945</f>
        <v>5945</v>
      </c>
      <c r="B5947" s="6" t="s">
        <v>15339</v>
      </c>
      <c r="C5947" s="6" t="s">
        <v>12</v>
      </c>
      <c r="D5947" s="6" t="s">
        <v>14573</v>
      </c>
      <c r="E5947" s="6" t="s">
        <v>15281</v>
      </c>
      <c r="F5947" s="6" t="s">
        <v>15340</v>
      </c>
      <c r="G5947" s="6" t="s">
        <v>16</v>
      </c>
      <c r="H5947" s="5">
        <v>4</v>
      </c>
      <c r="I5947" s="6" t="s">
        <v>15341</v>
      </c>
      <c r="J5947" s="5">
        <v>1000</v>
      </c>
    </row>
    <row r="5948" s="2" customFormat="1" spans="1:10">
      <c r="A5948" s="6">
        <f>5946</f>
        <v>5946</v>
      </c>
      <c r="B5948" s="6" t="s">
        <v>15342</v>
      </c>
      <c r="C5948" s="6" t="s">
        <v>12</v>
      </c>
      <c r="D5948" s="6" t="s">
        <v>14573</v>
      </c>
      <c r="E5948" s="6" t="s">
        <v>15281</v>
      </c>
      <c r="F5948" s="6" t="s">
        <v>15343</v>
      </c>
      <c r="G5948" s="6" t="s">
        <v>16</v>
      </c>
      <c r="H5948" s="5">
        <v>3</v>
      </c>
      <c r="I5948" s="6" t="s">
        <v>15344</v>
      </c>
      <c r="J5948" s="5">
        <v>540</v>
      </c>
    </row>
    <row r="5949" s="2" customFormat="1" ht="27" spans="1:10">
      <c r="A5949" s="6">
        <f>5947</f>
        <v>5947</v>
      </c>
      <c r="B5949" s="6" t="s">
        <v>15345</v>
      </c>
      <c r="C5949" s="6" t="s">
        <v>12</v>
      </c>
      <c r="D5949" s="6" t="s">
        <v>14573</v>
      </c>
      <c r="E5949" s="6" t="s">
        <v>15281</v>
      </c>
      <c r="F5949" s="6" t="s">
        <v>15346</v>
      </c>
      <c r="G5949" s="6" t="s">
        <v>16</v>
      </c>
      <c r="H5949" s="5">
        <v>4</v>
      </c>
      <c r="I5949" s="6" t="s">
        <v>15347</v>
      </c>
      <c r="J5949" s="5">
        <v>595</v>
      </c>
    </row>
    <row r="5950" s="2" customFormat="1" spans="1:10">
      <c r="A5950" s="6">
        <f>5948</f>
        <v>5948</v>
      </c>
      <c r="B5950" s="6" t="s">
        <v>15348</v>
      </c>
      <c r="C5950" s="6" t="s">
        <v>12</v>
      </c>
      <c r="D5950" s="6" t="s">
        <v>14573</v>
      </c>
      <c r="E5950" s="6" t="s">
        <v>15281</v>
      </c>
      <c r="F5950" s="6" t="s">
        <v>15349</v>
      </c>
      <c r="G5950" s="6" t="s">
        <v>16</v>
      </c>
      <c r="H5950" s="5">
        <v>1</v>
      </c>
      <c r="I5950" s="6" t="s">
        <v>15349</v>
      </c>
      <c r="J5950" s="5">
        <v>620</v>
      </c>
    </row>
    <row r="5951" s="2" customFormat="1" spans="1:10">
      <c r="A5951" s="6">
        <f>5949</f>
        <v>5949</v>
      </c>
      <c r="B5951" s="6" t="s">
        <v>15350</v>
      </c>
      <c r="C5951" s="6" t="s">
        <v>12</v>
      </c>
      <c r="D5951" s="6" t="s">
        <v>14573</v>
      </c>
      <c r="E5951" s="6" t="s">
        <v>15281</v>
      </c>
      <c r="F5951" s="6" t="s">
        <v>15351</v>
      </c>
      <c r="G5951" s="6" t="s">
        <v>16</v>
      </c>
      <c r="H5951" s="5">
        <v>2</v>
      </c>
      <c r="I5951" s="6" t="s">
        <v>15352</v>
      </c>
      <c r="J5951" s="5">
        <v>820</v>
      </c>
    </row>
    <row r="5952" s="2" customFormat="1" spans="1:10">
      <c r="A5952" s="6">
        <f>5950</f>
        <v>5950</v>
      </c>
      <c r="B5952" s="6" t="s">
        <v>15353</v>
      </c>
      <c r="C5952" s="6" t="s">
        <v>12</v>
      </c>
      <c r="D5952" s="6" t="s">
        <v>14573</v>
      </c>
      <c r="E5952" s="6" t="s">
        <v>15281</v>
      </c>
      <c r="F5952" s="6" t="s">
        <v>15354</v>
      </c>
      <c r="G5952" s="6" t="s">
        <v>16</v>
      </c>
      <c r="H5952" s="5">
        <v>1</v>
      </c>
      <c r="I5952" s="6" t="s">
        <v>15354</v>
      </c>
      <c r="J5952" s="5">
        <v>270</v>
      </c>
    </row>
    <row r="5953" s="2" customFormat="1" ht="27" spans="1:10">
      <c r="A5953" s="6">
        <f>5951</f>
        <v>5951</v>
      </c>
      <c r="B5953" s="6" t="s">
        <v>15355</v>
      </c>
      <c r="C5953" s="6" t="s">
        <v>12</v>
      </c>
      <c r="D5953" s="6" t="s">
        <v>14573</v>
      </c>
      <c r="E5953" s="6" t="s">
        <v>15281</v>
      </c>
      <c r="F5953" s="6" t="s">
        <v>15356</v>
      </c>
      <c r="G5953" s="6" t="s">
        <v>16</v>
      </c>
      <c r="H5953" s="5">
        <v>4</v>
      </c>
      <c r="I5953" s="6" t="s">
        <v>15357</v>
      </c>
      <c r="J5953" s="5">
        <v>480</v>
      </c>
    </row>
    <row r="5954" s="2" customFormat="1" spans="1:10">
      <c r="A5954" s="6">
        <f>5952</f>
        <v>5952</v>
      </c>
      <c r="B5954" s="6" t="s">
        <v>15358</v>
      </c>
      <c r="C5954" s="6" t="s">
        <v>12</v>
      </c>
      <c r="D5954" s="6" t="s">
        <v>14573</v>
      </c>
      <c r="E5954" s="6" t="s">
        <v>15281</v>
      </c>
      <c r="F5954" s="6" t="s">
        <v>15359</v>
      </c>
      <c r="G5954" s="6" t="s">
        <v>16</v>
      </c>
      <c r="H5954" s="5">
        <v>3</v>
      </c>
      <c r="I5954" s="6" t="s">
        <v>15360</v>
      </c>
      <c r="J5954" s="5">
        <v>540</v>
      </c>
    </row>
    <row r="5955" s="2" customFormat="1" spans="1:10">
      <c r="A5955" s="6">
        <f>5953</f>
        <v>5953</v>
      </c>
      <c r="B5955" s="6" t="s">
        <v>15361</v>
      </c>
      <c r="C5955" s="6" t="s">
        <v>12</v>
      </c>
      <c r="D5955" s="6" t="s">
        <v>14573</v>
      </c>
      <c r="E5955" s="6" t="s">
        <v>15281</v>
      </c>
      <c r="F5955" s="6" t="s">
        <v>15362</v>
      </c>
      <c r="G5955" s="6" t="s">
        <v>16</v>
      </c>
      <c r="H5955" s="5">
        <v>1</v>
      </c>
      <c r="I5955" s="6" t="s">
        <v>15362</v>
      </c>
      <c r="J5955" s="5">
        <v>270</v>
      </c>
    </row>
    <row r="5956" s="2" customFormat="1" spans="1:10">
      <c r="A5956" s="6">
        <f>5954</f>
        <v>5954</v>
      </c>
      <c r="B5956" s="6" t="s">
        <v>15363</v>
      </c>
      <c r="C5956" s="6" t="s">
        <v>12</v>
      </c>
      <c r="D5956" s="6" t="s">
        <v>14573</v>
      </c>
      <c r="E5956" s="6" t="s">
        <v>15281</v>
      </c>
      <c r="F5956" s="6" t="s">
        <v>15364</v>
      </c>
      <c r="G5956" s="6" t="s">
        <v>16</v>
      </c>
      <c r="H5956" s="5">
        <v>1</v>
      </c>
      <c r="I5956" s="6" t="s">
        <v>15364</v>
      </c>
      <c r="J5956" s="5">
        <v>270</v>
      </c>
    </row>
    <row r="5957" s="2" customFormat="1" spans="1:10">
      <c r="A5957" s="6">
        <f>5955</f>
        <v>5955</v>
      </c>
      <c r="B5957" s="6" t="s">
        <v>15365</v>
      </c>
      <c r="C5957" s="6" t="s">
        <v>12</v>
      </c>
      <c r="D5957" s="6" t="s">
        <v>14573</v>
      </c>
      <c r="E5957" s="6" t="s">
        <v>15281</v>
      </c>
      <c r="F5957" s="6" t="s">
        <v>15366</v>
      </c>
      <c r="G5957" s="6" t="s">
        <v>16</v>
      </c>
      <c r="H5957" s="5">
        <v>1</v>
      </c>
      <c r="I5957" s="6" t="s">
        <v>15366</v>
      </c>
      <c r="J5957" s="5">
        <v>360</v>
      </c>
    </row>
    <row r="5958" s="2" customFormat="1" spans="1:10">
      <c r="A5958" s="6">
        <f>5956</f>
        <v>5956</v>
      </c>
      <c r="B5958" s="6" t="s">
        <v>15367</v>
      </c>
      <c r="C5958" s="6" t="s">
        <v>12</v>
      </c>
      <c r="D5958" s="6" t="s">
        <v>14573</v>
      </c>
      <c r="E5958" s="6" t="s">
        <v>15281</v>
      </c>
      <c r="F5958" s="6" t="s">
        <v>15368</v>
      </c>
      <c r="G5958" s="6" t="s">
        <v>16</v>
      </c>
      <c r="H5958" s="5">
        <v>1</v>
      </c>
      <c r="I5958" s="6" t="s">
        <v>15368</v>
      </c>
      <c r="J5958" s="5">
        <v>270</v>
      </c>
    </row>
    <row r="5959" s="2" customFormat="1" spans="1:10">
      <c r="A5959" s="6">
        <f>5957</f>
        <v>5957</v>
      </c>
      <c r="B5959" s="6" t="s">
        <v>15369</v>
      </c>
      <c r="C5959" s="6" t="s">
        <v>12</v>
      </c>
      <c r="D5959" s="6" t="s">
        <v>14573</v>
      </c>
      <c r="E5959" s="6" t="s">
        <v>15281</v>
      </c>
      <c r="F5959" s="6" t="s">
        <v>15370</v>
      </c>
      <c r="G5959" s="6" t="s">
        <v>16</v>
      </c>
      <c r="H5959" s="5">
        <v>1</v>
      </c>
      <c r="I5959" s="6" t="s">
        <v>15370</v>
      </c>
      <c r="J5959" s="5">
        <v>270</v>
      </c>
    </row>
    <row r="5960" s="2" customFormat="1" spans="1:10">
      <c r="A5960" s="6">
        <f>5958</f>
        <v>5958</v>
      </c>
      <c r="B5960" s="6" t="s">
        <v>15371</v>
      </c>
      <c r="C5960" s="6" t="s">
        <v>12</v>
      </c>
      <c r="D5960" s="6" t="s">
        <v>14573</v>
      </c>
      <c r="E5960" s="6" t="s">
        <v>15281</v>
      </c>
      <c r="F5960" s="6" t="s">
        <v>15372</v>
      </c>
      <c r="G5960" s="6" t="s">
        <v>16</v>
      </c>
      <c r="H5960" s="5">
        <v>1</v>
      </c>
      <c r="I5960" s="6" t="s">
        <v>15372</v>
      </c>
      <c r="J5960" s="5">
        <v>270</v>
      </c>
    </row>
    <row r="5961" s="2" customFormat="1" spans="1:10">
      <c r="A5961" s="6">
        <f>5959</f>
        <v>5959</v>
      </c>
      <c r="B5961" s="6" t="s">
        <v>15373</v>
      </c>
      <c r="C5961" s="6" t="s">
        <v>12</v>
      </c>
      <c r="D5961" s="6" t="s">
        <v>14573</v>
      </c>
      <c r="E5961" s="6" t="s">
        <v>15281</v>
      </c>
      <c r="F5961" s="6" t="s">
        <v>15374</v>
      </c>
      <c r="G5961" s="6" t="s">
        <v>16</v>
      </c>
      <c r="H5961" s="5">
        <v>3</v>
      </c>
      <c r="I5961" s="6" t="s">
        <v>15375</v>
      </c>
      <c r="J5961" s="5">
        <v>485</v>
      </c>
    </row>
    <row r="5962" s="2" customFormat="1" spans="1:10">
      <c r="A5962" s="6">
        <f>5960</f>
        <v>5960</v>
      </c>
      <c r="B5962" s="6" t="s">
        <v>15376</v>
      </c>
      <c r="C5962" s="6" t="s">
        <v>12</v>
      </c>
      <c r="D5962" s="6" t="s">
        <v>14573</v>
      </c>
      <c r="E5962" s="6" t="s">
        <v>15281</v>
      </c>
      <c r="F5962" s="6" t="s">
        <v>15377</v>
      </c>
      <c r="G5962" s="6" t="s">
        <v>16</v>
      </c>
      <c r="H5962" s="5">
        <v>3</v>
      </c>
      <c r="I5962" s="6" t="s">
        <v>15378</v>
      </c>
      <c r="J5962" s="5">
        <v>320</v>
      </c>
    </row>
    <row r="5963" s="2" customFormat="1" spans="1:10">
      <c r="A5963" s="6">
        <f>5961</f>
        <v>5961</v>
      </c>
      <c r="B5963" s="6" t="s">
        <v>15379</v>
      </c>
      <c r="C5963" s="6" t="s">
        <v>12</v>
      </c>
      <c r="D5963" s="6" t="s">
        <v>14573</v>
      </c>
      <c r="E5963" s="6" t="s">
        <v>15281</v>
      </c>
      <c r="F5963" s="6" t="s">
        <v>15380</v>
      </c>
      <c r="G5963" s="6" t="s">
        <v>16</v>
      </c>
      <c r="H5963" s="5">
        <v>1</v>
      </c>
      <c r="I5963" s="6" t="s">
        <v>15380</v>
      </c>
      <c r="J5963" s="5">
        <v>270</v>
      </c>
    </row>
    <row r="5964" s="2" customFormat="1" spans="1:10">
      <c r="A5964" s="6">
        <f>5962</f>
        <v>5962</v>
      </c>
      <c r="B5964" s="6" t="s">
        <v>15381</v>
      </c>
      <c r="C5964" s="6" t="s">
        <v>12</v>
      </c>
      <c r="D5964" s="6" t="s">
        <v>14573</v>
      </c>
      <c r="E5964" s="6" t="s">
        <v>15281</v>
      </c>
      <c r="F5964" s="6" t="s">
        <v>15382</v>
      </c>
      <c r="G5964" s="6" t="s">
        <v>16</v>
      </c>
      <c r="H5964" s="5">
        <v>1</v>
      </c>
      <c r="I5964" s="6" t="s">
        <v>15382</v>
      </c>
      <c r="J5964" s="5">
        <v>270</v>
      </c>
    </row>
    <row r="5965" s="2" customFormat="1" spans="1:10">
      <c r="A5965" s="6">
        <f>5963</f>
        <v>5963</v>
      </c>
      <c r="B5965" s="6" t="s">
        <v>15383</v>
      </c>
      <c r="C5965" s="6" t="s">
        <v>12</v>
      </c>
      <c r="D5965" s="6" t="s">
        <v>14573</v>
      </c>
      <c r="E5965" s="6" t="s">
        <v>15281</v>
      </c>
      <c r="F5965" s="6" t="s">
        <v>15384</v>
      </c>
      <c r="G5965" s="6" t="s">
        <v>16</v>
      </c>
      <c r="H5965" s="5">
        <v>1</v>
      </c>
      <c r="I5965" s="6" t="s">
        <v>15384</v>
      </c>
      <c r="J5965" s="5">
        <v>260</v>
      </c>
    </row>
    <row r="5966" s="2" customFormat="1" spans="1:10">
      <c r="A5966" s="6">
        <f>5964</f>
        <v>5964</v>
      </c>
      <c r="B5966" s="6" t="s">
        <v>15385</v>
      </c>
      <c r="C5966" s="6" t="s">
        <v>12</v>
      </c>
      <c r="D5966" s="6" t="s">
        <v>14573</v>
      </c>
      <c r="E5966" s="6" t="s">
        <v>15281</v>
      </c>
      <c r="F5966" s="6" t="s">
        <v>15386</v>
      </c>
      <c r="G5966" s="6" t="s">
        <v>16</v>
      </c>
      <c r="H5966" s="5">
        <v>1</v>
      </c>
      <c r="I5966" s="6" t="s">
        <v>15386</v>
      </c>
      <c r="J5966" s="5">
        <v>316</v>
      </c>
    </row>
    <row r="5967" s="2" customFormat="1" spans="1:10">
      <c r="A5967" s="6">
        <f>5965</f>
        <v>5965</v>
      </c>
      <c r="B5967" s="6" t="s">
        <v>15387</v>
      </c>
      <c r="C5967" s="6" t="s">
        <v>12</v>
      </c>
      <c r="D5967" s="6" t="s">
        <v>14573</v>
      </c>
      <c r="E5967" s="6" t="s">
        <v>15281</v>
      </c>
      <c r="F5967" s="6" t="s">
        <v>15388</v>
      </c>
      <c r="G5967" s="6" t="s">
        <v>16</v>
      </c>
      <c r="H5967" s="5">
        <v>1</v>
      </c>
      <c r="I5967" s="6" t="s">
        <v>15388</v>
      </c>
      <c r="J5967" s="5">
        <v>300</v>
      </c>
    </row>
    <row r="5968" s="2" customFormat="1" spans="1:10">
      <c r="A5968" s="6">
        <f>5966</f>
        <v>5966</v>
      </c>
      <c r="B5968" s="6" t="s">
        <v>15389</v>
      </c>
      <c r="C5968" s="6" t="s">
        <v>12</v>
      </c>
      <c r="D5968" s="6" t="s">
        <v>14573</v>
      </c>
      <c r="E5968" s="6" t="s">
        <v>15281</v>
      </c>
      <c r="F5968" s="6" t="s">
        <v>15390</v>
      </c>
      <c r="G5968" s="6" t="s">
        <v>16</v>
      </c>
      <c r="H5968" s="5">
        <v>1</v>
      </c>
      <c r="I5968" s="6" t="s">
        <v>15390</v>
      </c>
      <c r="J5968" s="5">
        <v>375</v>
      </c>
    </row>
    <row r="5969" s="2" customFormat="1" spans="1:10">
      <c r="A5969" s="6">
        <f>5967</f>
        <v>5967</v>
      </c>
      <c r="B5969" s="6" t="s">
        <v>15391</v>
      </c>
      <c r="C5969" s="6" t="s">
        <v>12</v>
      </c>
      <c r="D5969" s="6" t="s">
        <v>14573</v>
      </c>
      <c r="E5969" s="6" t="s">
        <v>15281</v>
      </c>
      <c r="F5969" s="6" t="s">
        <v>15392</v>
      </c>
      <c r="G5969" s="6" t="s">
        <v>16</v>
      </c>
      <c r="H5969" s="5">
        <v>3</v>
      </c>
      <c r="I5969" s="6" t="s">
        <v>15393</v>
      </c>
      <c r="J5969" s="5">
        <v>468</v>
      </c>
    </row>
    <row r="5970" s="2" customFormat="1" spans="1:10">
      <c r="A5970" s="6">
        <f>5968</f>
        <v>5968</v>
      </c>
      <c r="B5970" s="6" t="s">
        <v>15394</v>
      </c>
      <c r="C5970" s="6" t="s">
        <v>12</v>
      </c>
      <c r="D5970" s="6" t="s">
        <v>14573</v>
      </c>
      <c r="E5970" s="6" t="s">
        <v>15281</v>
      </c>
      <c r="F5970" s="6" t="s">
        <v>15395</v>
      </c>
      <c r="G5970" s="6" t="s">
        <v>16</v>
      </c>
      <c r="H5970" s="5">
        <v>1</v>
      </c>
      <c r="I5970" s="6" t="s">
        <v>15395</v>
      </c>
      <c r="J5970" s="5">
        <v>245</v>
      </c>
    </row>
    <row r="5971" s="2" customFormat="1" ht="27" spans="1:10">
      <c r="A5971" s="6">
        <f>5969</f>
        <v>5969</v>
      </c>
      <c r="B5971" s="6" t="s">
        <v>15396</v>
      </c>
      <c r="C5971" s="6" t="s">
        <v>12</v>
      </c>
      <c r="D5971" s="6" t="s">
        <v>14573</v>
      </c>
      <c r="E5971" s="6" t="s">
        <v>15281</v>
      </c>
      <c r="F5971" s="6" t="s">
        <v>15397</v>
      </c>
      <c r="G5971" s="6" t="s">
        <v>16</v>
      </c>
      <c r="H5971" s="5">
        <v>4</v>
      </c>
      <c r="I5971" s="6" t="s">
        <v>15398</v>
      </c>
      <c r="J5971" s="5">
        <v>948</v>
      </c>
    </row>
    <row r="5972" s="2" customFormat="1" spans="1:10">
      <c r="A5972" s="6">
        <f>5970</f>
        <v>5970</v>
      </c>
      <c r="B5972" s="6" t="s">
        <v>15399</v>
      </c>
      <c r="C5972" s="6" t="s">
        <v>12</v>
      </c>
      <c r="D5972" s="6" t="s">
        <v>14573</v>
      </c>
      <c r="E5972" s="6" t="s">
        <v>15281</v>
      </c>
      <c r="F5972" s="6" t="s">
        <v>15400</v>
      </c>
      <c r="G5972" s="6" t="s">
        <v>16</v>
      </c>
      <c r="H5972" s="5">
        <v>1</v>
      </c>
      <c r="I5972" s="6" t="s">
        <v>15400</v>
      </c>
      <c r="J5972" s="5">
        <v>620</v>
      </c>
    </row>
    <row r="5973" s="2" customFormat="1" spans="1:10">
      <c r="A5973" s="6">
        <f>5971</f>
        <v>5971</v>
      </c>
      <c r="B5973" s="6" t="s">
        <v>15401</v>
      </c>
      <c r="C5973" s="6" t="s">
        <v>12</v>
      </c>
      <c r="D5973" s="6" t="s">
        <v>14573</v>
      </c>
      <c r="E5973" s="6" t="s">
        <v>15281</v>
      </c>
      <c r="F5973" s="6" t="s">
        <v>15402</v>
      </c>
      <c r="G5973" s="6" t="s">
        <v>16</v>
      </c>
      <c r="H5973" s="5">
        <v>1</v>
      </c>
      <c r="I5973" s="6" t="s">
        <v>15402</v>
      </c>
      <c r="J5973" s="5">
        <v>270</v>
      </c>
    </row>
    <row r="5974" s="2" customFormat="1" spans="1:10">
      <c r="A5974" s="6">
        <f>5972</f>
        <v>5972</v>
      </c>
      <c r="B5974" s="6" t="s">
        <v>15403</v>
      </c>
      <c r="C5974" s="6" t="s">
        <v>12</v>
      </c>
      <c r="D5974" s="6" t="s">
        <v>14573</v>
      </c>
      <c r="E5974" s="6" t="s">
        <v>15281</v>
      </c>
      <c r="F5974" s="6" t="s">
        <v>15404</v>
      </c>
      <c r="G5974" s="6" t="s">
        <v>16</v>
      </c>
      <c r="H5974" s="5">
        <v>2</v>
      </c>
      <c r="I5974" s="6" t="s">
        <v>15405</v>
      </c>
      <c r="J5974" s="5">
        <v>720</v>
      </c>
    </row>
    <row r="5975" s="2" customFormat="1" spans="1:10">
      <c r="A5975" s="6">
        <f>5973</f>
        <v>5973</v>
      </c>
      <c r="B5975" s="6" t="s">
        <v>15406</v>
      </c>
      <c r="C5975" s="6" t="s">
        <v>12</v>
      </c>
      <c r="D5975" s="6" t="s">
        <v>14573</v>
      </c>
      <c r="E5975" s="6" t="s">
        <v>15281</v>
      </c>
      <c r="F5975" s="6" t="s">
        <v>15407</v>
      </c>
      <c r="G5975" s="6" t="s">
        <v>16</v>
      </c>
      <c r="H5975" s="5">
        <v>3</v>
      </c>
      <c r="I5975" s="6" t="s">
        <v>15408</v>
      </c>
      <c r="J5975" s="5">
        <v>480</v>
      </c>
    </row>
    <row r="5976" s="2" customFormat="1" spans="1:10">
      <c r="A5976" s="6">
        <f>5974</f>
        <v>5974</v>
      </c>
      <c r="B5976" s="6" t="s">
        <v>15409</v>
      </c>
      <c r="C5976" s="6" t="s">
        <v>12</v>
      </c>
      <c r="D5976" s="6" t="s">
        <v>14573</v>
      </c>
      <c r="E5976" s="6" t="s">
        <v>15281</v>
      </c>
      <c r="F5976" s="6" t="s">
        <v>15410</v>
      </c>
      <c r="G5976" s="6" t="s">
        <v>16</v>
      </c>
      <c r="H5976" s="5">
        <v>3</v>
      </c>
      <c r="I5976" s="6" t="s">
        <v>15411</v>
      </c>
      <c r="J5976" s="5">
        <v>1040</v>
      </c>
    </row>
    <row r="5977" s="2" customFormat="1" spans="1:10">
      <c r="A5977" s="6">
        <f>5975</f>
        <v>5975</v>
      </c>
      <c r="B5977" s="6" t="s">
        <v>15412</v>
      </c>
      <c r="C5977" s="6" t="s">
        <v>12</v>
      </c>
      <c r="D5977" s="6" t="s">
        <v>14573</v>
      </c>
      <c r="E5977" s="6" t="s">
        <v>15281</v>
      </c>
      <c r="F5977" s="6" t="s">
        <v>15413</v>
      </c>
      <c r="G5977" s="6" t="s">
        <v>16</v>
      </c>
      <c r="H5977" s="5">
        <v>1</v>
      </c>
      <c r="I5977" s="6" t="s">
        <v>15413</v>
      </c>
      <c r="J5977" s="5">
        <v>268</v>
      </c>
    </row>
    <row r="5978" s="2" customFormat="1" spans="1:10">
      <c r="A5978" s="6">
        <f>5976</f>
        <v>5976</v>
      </c>
      <c r="B5978" s="6" t="s">
        <v>15414</v>
      </c>
      <c r="C5978" s="6" t="s">
        <v>12</v>
      </c>
      <c r="D5978" s="6" t="s">
        <v>14573</v>
      </c>
      <c r="E5978" s="6" t="s">
        <v>15281</v>
      </c>
      <c r="F5978" s="6" t="s">
        <v>1647</v>
      </c>
      <c r="G5978" s="6" t="s">
        <v>16</v>
      </c>
      <c r="H5978" s="5">
        <v>1</v>
      </c>
      <c r="I5978" s="6" t="s">
        <v>1647</v>
      </c>
      <c r="J5978" s="5">
        <v>270</v>
      </c>
    </row>
    <row r="5979" s="2" customFormat="1" spans="1:10">
      <c r="A5979" s="6">
        <f>5977</f>
        <v>5977</v>
      </c>
      <c r="B5979" s="6" t="s">
        <v>15415</v>
      </c>
      <c r="C5979" s="6" t="s">
        <v>12</v>
      </c>
      <c r="D5979" s="6" t="s">
        <v>14573</v>
      </c>
      <c r="E5979" s="6" t="s">
        <v>15281</v>
      </c>
      <c r="F5979" s="6" t="s">
        <v>14505</v>
      </c>
      <c r="G5979" s="6" t="s">
        <v>16</v>
      </c>
      <c r="H5979" s="5">
        <v>2</v>
      </c>
      <c r="I5979" s="6" t="s">
        <v>15416</v>
      </c>
      <c r="J5979" s="5">
        <v>820</v>
      </c>
    </row>
    <row r="5980" s="2" customFormat="1" spans="1:10">
      <c r="A5980" s="6">
        <f>5978</f>
        <v>5978</v>
      </c>
      <c r="B5980" s="6" t="s">
        <v>15417</v>
      </c>
      <c r="C5980" s="6" t="s">
        <v>12</v>
      </c>
      <c r="D5980" s="6" t="s">
        <v>14573</v>
      </c>
      <c r="E5980" s="6" t="s">
        <v>15281</v>
      </c>
      <c r="F5980" s="6" t="s">
        <v>15418</v>
      </c>
      <c r="G5980" s="6" t="s">
        <v>16</v>
      </c>
      <c r="H5980" s="5">
        <v>1</v>
      </c>
      <c r="I5980" s="6" t="s">
        <v>15418</v>
      </c>
      <c r="J5980" s="5">
        <v>620</v>
      </c>
    </row>
    <row r="5981" s="2" customFormat="1" spans="1:10">
      <c r="A5981" s="6">
        <f>5979</f>
        <v>5979</v>
      </c>
      <c r="B5981" s="6" t="s">
        <v>15419</v>
      </c>
      <c r="C5981" s="6" t="s">
        <v>12</v>
      </c>
      <c r="D5981" s="6" t="s">
        <v>14573</v>
      </c>
      <c r="E5981" s="6" t="s">
        <v>15281</v>
      </c>
      <c r="F5981" s="6" t="s">
        <v>15420</v>
      </c>
      <c r="G5981" s="6" t="s">
        <v>16</v>
      </c>
      <c r="H5981" s="5">
        <v>3</v>
      </c>
      <c r="I5981" s="6" t="s">
        <v>15421</v>
      </c>
      <c r="J5981" s="5">
        <v>745</v>
      </c>
    </row>
    <row r="5982" s="2" customFormat="1" spans="1:10">
      <c r="A5982" s="6">
        <f>5980</f>
        <v>5980</v>
      </c>
      <c r="B5982" s="6" t="s">
        <v>15422</v>
      </c>
      <c r="C5982" s="6" t="s">
        <v>12</v>
      </c>
      <c r="D5982" s="6" t="s">
        <v>14573</v>
      </c>
      <c r="E5982" s="6" t="s">
        <v>15281</v>
      </c>
      <c r="F5982" s="6" t="s">
        <v>15423</v>
      </c>
      <c r="G5982" s="6" t="s">
        <v>16</v>
      </c>
      <c r="H5982" s="5">
        <v>1</v>
      </c>
      <c r="I5982" s="6" t="s">
        <v>15423</v>
      </c>
      <c r="J5982" s="5">
        <v>368</v>
      </c>
    </row>
    <row r="5983" s="2" customFormat="1" ht="27" spans="1:10">
      <c r="A5983" s="6">
        <f>5981</f>
        <v>5981</v>
      </c>
      <c r="B5983" s="6" t="s">
        <v>15424</v>
      </c>
      <c r="C5983" s="6" t="s">
        <v>12</v>
      </c>
      <c r="D5983" s="6" t="s">
        <v>14573</v>
      </c>
      <c r="E5983" s="6" t="s">
        <v>15281</v>
      </c>
      <c r="F5983" s="6" t="s">
        <v>7791</v>
      </c>
      <c r="G5983" s="6" t="s">
        <v>16</v>
      </c>
      <c r="H5983" s="5">
        <v>4</v>
      </c>
      <c r="I5983" s="6" t="s">
        <v>15425</v>
      </c>
      <c r="J5983" s="5">
        <v>1048</v>
      </c>
    </row>
    <row r="5984" s="2" customFormat="1" spans="1:10">
      <c r="A5984" s="6">
        <f>5982</f>
        <v>5982</v>
      </c>
      <c r="B5984" s="6" t="s">
        <v>15426</v>
      </c>
      <c r="C5984" s="6" t="s">
        <v>12</v>
      </c>
      <c r="D5984" s="6" t="s">
        <v>14573</v>
      </c>
      <c r="E5984" s="6" t="s">
        <v>15281</v>
      </c>
      <c r="F5984" s="6" t="s">
        <v>15427</v>
      </c>
      <c r="G5984" s="6" t="s">
        <v>16</v>
      </c>
      <c r="H5984" s="5">
        <v>1</v>
      </c>
      <c r="I5984" s="6" t="s">
        <v>15427</v>
      </c>
      <c r="J5984" s="5">
        <v>270</v>
      </c>
    </row>
    <row r="5985" s="2" customFormat="1" spans="1:10">
      <c r="A5985" s="6">
        <f>5983</f>
        <v>5983</v>
      </c>
      <c r="B5985" s="6" t="s">
        <v>15428</v>
      </c>
      <c r="C5985" s="6" t="s">
        <v>12</v>
      </c>
      <c r="D5985" s="6" t="s">
        <v>14573</v>
      </c>
      <c r="E5985" s="6" t="s">
        <v>15281</v>
      </c>
      <c r="F5985" s="6" t="s">
        <v>15429</v>
      </c>
      <c r="G5985" s="6" t="s">
        <v>16</v>
      </c>
      <c r="H5985" s="5">
        <v>1</v>
      </c>
      <c r="I5985" s="6" t="s">
        <v>15429</v>
      </c>
      <c r="J5985" s="5">
        <v>270</v>
      </c>
    </row>
    <row r="5986" s="2" customFormat="1" spans="1:10">
      <c r="A5986" s="6">
        <f>5984</f>
        <v>5984</v>
      </c>
      <c r="B5986" s="6" t="s">
        <v>15430</v>
      </c>
      <c r="C5986" s="6" t="s">
        <v>12</v>
      </c>
      <c r="D5986" s="6" t="s">
        <v>14573</v>
      </c>
      <c r="E5986" s="6" t="s">
        <v>15281</v>
      </c>
      <c r="F5986" s="6" t="s">
        <v>15431</v>
      </c>
      <c r="G5986" s="6" t="s">
        <v>16</v>
      </c>
      <c r="H5986" s="5">
        <v>2</v>
      </c>
      <c r="I5986" s="6" t="s">
        <v>15432</v>
      </c>
      <c r="J5986" s="5">
        <v>330</v>
      </c>
    </row>
    <row r="5987" s="2" customFormat="1" spans="1:10">
      <c r="A5987" s="6">
        <f>5985</f>
        <v>5985</v>
      </c>
      <c r="B5987" s="6" t="s">
        <v>15433</v>
      </c>
      <c r="C5987" s="6" t="s">
        <v>12</v>
      </c>
      <c r="D5987" s="6" t="s">
        <v>14573</v>
      </c>
      <c r="E5987" s="6" t="s">
        <v>15281</v>
      </c>
      <c r="F5987" s="6" t="s">
        <v>15434</v>
      </c>
      <c r="G5987" s="6" t="s">
        <v>16</v>
      </c>
      <c r="H5987" s="5">
        <v>3</v>
      </c>
      <c r="I5987" s="6" t="s">
        <v>15435</v>
      </c>
      <c r="J5987" s="5">
        <v>880</v>
      </c>
    </row>
    <row r="5988" s="2" customFormat="1" spans="1:10">
      <c r="A5988" s="6">
        <f>5986</f>
        <v>5986</v>
      </c>
      <c r="B5988" s="6" t="s">
        <v>15436</v>
      </c>
      <c r="C5988" s="6" t="s">
        <v>12</v>
      </c>
      <c r="D5988" s="6" t="s">
        <v>14573</v>
      </c>
      <c r="E5988" s="6" t="s">
        <v>15281</v>
      </c>
      <c r="F5988" s="6" t="s">
        <v>15437</v>
      </c>
      <c r="G5988" s="6" t="s">
        <v>16</v>
      </c>
      <c r="H5988" s="5">
        <v>1</v>
      </c>
      <c r="I5988" s="6" t="s">
        <v>15437</v>
      </c>
      <c r="J5988" s="5">
        <v>620</v>
      </c>
    </row>
    <row r="5989" s="2" customFormat="1" ht="27" spans="1:10">
      <c r="A5989" s="6">
        <f>5987</f>
        <v>5987</v>
      </c>
      <c r="B5989" s="6" t="s">
        <v>15438</v>
      </c>
      <c r="C5989" s="6" t="s">
        <v>12</v>
      </c>
      <c r="D5989" s="6" t="s">
        <v>14573</v>
      </c>
      <c r="E5989" s="6" t="s">
        <v>15281</v>
      </c>
      <c r="F5989" s="6" t="s">
        <v>15439</v>
      </c>
      <c r="G5989" s="6" t="s">
        <v>16</v>
      </c>
      <c r="H5989" s="5">
        <v>5</v>
      </c>
      <c r="I5989" s="6" t="s">
        <v>15440</v>
      </c>
      <c r="J5989" s="5">
        <v>1000</v>
      </c>
    </row>
    <row r="5990" s="2" customFormat="1" spans="1:10">
      <c r="A5990" s="6">
        <f>5988</f>
        <v>5988</v>
      </c>
      <c r="B5990" s="6" t="s">
        <v>15441</v>
      </c>
      <c r="C5990" s="6" t="s">
        <v>12</v>
      </c>
      <c r="D5990" s="6" t="s">
        <v>14573</v>
      </c>
      <c r="E5990" s="6" t="s">
        <v>15281</v>
      </c>
      <c r="F5990" s="6" t="s">
        <v>15442</v>
      </c>
      <c r="G5990" s="6" t="s">
        <v>16</v>
      </c>
      <c r="H5990" s="5">
        <v>1</v>
      </c>
      <c r="I5990" s="6" t="s">
        <v>15442</v>
      </c>
      <c r="J5990" s="5">
        <v>500</v>
      </c>
    </row>
    <row r="5991" s="2" customFormat="1" spans="1:10">
      <c r="A5991" s="6">
        <f>5989</f>
        <v>5989</v>
      </c>
      <c r="B5991" s="6" t="s">
        <v>15443</v>
      </c>
      <c r="C5991" s="6" t="s">
        <v>12</v>
      </c>
      <c r="D5991" s="6" t="s">
        <v>14573</v>
      </c>
      <c r="E5991" s="6" t="s">
        <v>15281</v>
      </c>
      <c r="F5991" s="6" t="s">
        <v>15444</v>
      </c>
      <c r="G5991" s="6" t="s">
        <v>16</v>
      </c>
      <c r="H5991" s="5">
        <v>1</v>
      </c>
      <c r="I5991" s="6" t="s">
        <v>15444</v>
      </c>
      <c r="J5991" s="5">
        <v>270</v>
      </c>
    </row>
    <row r="5992" s="2" customFormat="1" spans="1:10">
      <c r="A5992" s="6">
        <f>5990</f>
        <v>5990</v>
      </c>
      <c r="B5992" s="6" t="s">
        <v>15445</v>
      </c>
      <c r="C5992" s="6" t="s">
        <v>12</v>
      </c>
      <c r="D5992" s="6" t="s">
        <v>14573</v>
      </c>
      <c r="E5992" s="6" t="s">
        <v>15281</v>
      </c>
      <c r="F5992" s="6" t="s">
        <v>15446</v>
      </c>
      <c r="G5992" s="6" t="s">
        <v>16</v>
      </c>
      <c r="H5992" s="5">
        <v>3</v>
      </c>
      <c r="I5992" s="6" t="s">
        <v>15447</v>
      </c>
      <c r="J5992" s="5">
        <v>1500</v>
      </c>
    </row>
    <row r="5993" s="2" customFormat="1" spans="1:10">
      <c r="A5993" s="6">
        <f>5991</f>
        <v>5991</v>
      </c>
      <c r="B5993" s="6" t="s">
        <v>15448</v>
      </c>
      <c r="C5993" s="6" t="s">
        <v>12</v>
      </c>
      <c r="D5993" s="6" t="s">
        <v>14573</v>
      </c>
      <c r="E5993" s="6" t="s">
        <v>15281</v>
      </c>
      <c r="F5993" s="6" t="s">
        <v>15449</v>
      </c>
      <c r="G5993" s="6" t="s">
        <v>16</v>
      </c>
      <c r="H5993" s="5">
        <v>2</v>
      </c>
      <c r="I5993" s="6" t="s">
        <v>15450</v>
      </c>
      <c r="J5993" s="5">
        <v>540</v>
      </c>
    </row>
    <row r="5994" s="2" customFormat="1" spans="1:10">
      <c r="A5994" s="6">
        <f>5992</f>
        <v>5992</v>
      </c>
      <c r="B5994" s="6" t="s">
        <v>15451</v>
      </c>
      <c r="C5994" s="6" t="s">
        <v>12</v>
      </c>
      <c r="D5994" s="6" t="s">
        <v>14573</v>
      </c>
      <c r="E5994" s="6" t="s">
        <v>15281</v>
      </c>
      <c r="F5994" s="6" t="s">
        <v>15452</v>
      </c>
      <c r="G5994" s="6" t="s">
        <v>16</v>
      </c>
      <c r="H5994" s="5">
        <v>1</v>
      </c>
      <c r="I5994" s="6" t="s">
        <v>15452</v>
      </c>
      <c r="J5994" s="5">
        <v>446</v>
      </c>
    </row>
    <row r="5995" s="2" customFormat="1" spans="1:10">
      <c r="A5995" s="6">
        <f>5993</f>
        <v>5993</v>
      </c>
      <c r="B5995" s="6" t="s">
        <v>15453</v>
      </c>
      <c r="C5995" s="6" t="s">
        <v>12</v>
      </c>
      <c r="D5995" s="6" t="s">
        <v>14573</v>
      </c>
      <c r="E5995" s="6" t="s">
        <v>15281</v>
      </c>
      <c r="F5995" s="6" t="s">
        <v>15454</v>
      </c>
      <c r="G5995" s="6" t="s">
        <v>16</v>
      </c>
      <c r="H5995" s="5">
        <v>2</v>
      </c>
      <c r="I5995" s="6" t="s">
        <v>15455</v>
      </c>
      <c r="J5995" s="5">
        <v>650</v>
      </c>
    </row>
    <row r="5996" s="2" customFormat="1" ht="27" spans="1:10">
      <c r="A5996" s="6">
        <f>5994</f>
        <v>5994</v>
      </c>
      <c r="B5996" s="6" t="s">
        <v>15456</v>
      </c>
      <c r="C5996" s="6" t="s">
        <v>12</v>
      </c>
      <c r="D5996" s="6" t="s">
        <v>14573</v>
      </c>
      <c r="E5996" s="6" t="s">
        <v>15457</v>
      </c>
      <c r="F5996" s="6" t="s">
        <v>15458</v>
      </c>
      <c r="G5996" s="6" t="s">
        <v>16</v>
      </c>
      <c r="H5996" s="5">
        <v>4</v>
      </c>
      <c r="I5996" s="6" t="s">
        <v>15459</v>
      </c>
      <c r="J5996" s="5">
        <v>1400</v>
      </c>
    </row>
    <row r="5997" s="2" customFormat="1" ht="27" spans="1:10">
      <c r="A5997" s="6">
        <f>5995</f>
        <v>5995</v>
      </c>
      <c r="B5997" s="6" t="s">
        <v>15460</v>
      </c>
      <c r="C5997" s="6" t="s">
        <v>12</v>
      </c>
      <c r="D5997" s="6" t="s">
        <v>14573</v>
      </c>
      <c r="E5997" s="6" t="s">
        <v>15457</v>
      </c>
      <c r="F5997" s="6" t="s">
        <v>15461</v>
      </c>
      <c r="G5997" s="6" t="s">
        <v>16</v>
      </c>
      <c r="H5997" s="5">
        <v>4</v>
      </c>
      <c r="I5997" s="6" t="s">
        <v>15462</v>
      </c>
      <c r="J5997" s="5">
        <v>1200</v>
      </c>
    </row>
    <row r="5998" s="2" customFormat="1" spans="1:10">
      <c r="A5998" s="6">
        <f>5996</f>
        <v>5996</v>
      </c>
      <c r="B5998" s="6" t="s">
        <v>15463</v>
      </c>
      <c r="C5998" s="6" t="s">
        <v>12</v>
      </c>
      <c r="D5998" s="6" t="s">
        <v>14573</v>
      </c>
      <c r="E5998" s="6" t="s">
        <v>15457</v>
      </c>
      <c r="F5998" s="6" t="s">
        <v>15464</v>
      </c>
      <c r="G5998" s="6" t="s">
        <v>16</v>
      </c>
      <c r="H5998" s="5">
        <v>1</v>
      </c>
      <c r="I5998" s="6" t="s">
        <v>15464</v>
      </c>
      <c r="J5998" s="5">
        <v>460</v>
      </c>
    </row>
    <row r="5999" s="2" customFormat="1" spans="1:10">
      <c r="A5999" s="6">
        <f>5997</f>
        <v>5997</v>
      </c>
      <c r="B5999" s="6" t="s">
        <v>15465</v>
      </c>
      <c r="C5999" s="6" t="s">
        <v>12</v>
      </c>
      <c r="D5999" s="6" t="s">
        <v>14573</v>
      </c>
      <c r="E5999" s="6" t="s">
        <v>15457</v>
      </c>
      <c r="F5999" s="6" t="s">
        <v>15466</v>
      </c>
      <c r="G5999" s="6" t="s">
        <v>16</v>
      </c>
      <c r="H5999" s="5">
        <v>1</v>
      </c>
      <c r="I5999" s="6" t="s">
        <v>15466</v>
      </c>
      <c r="J5999" s="5">
        <v>540</v>
      </c>
    </row>
    <row r="6000" s="2" customFormat="1" spans="1:10">
      <c r="A6000" s="6">
        <f>5998</f>
        <v>5998</v>
      </c>
      <c r="B6000" s="6" t="s">
        <v>15467</v>
      </c>
      <c r="C6000" s="6" t="s">
        <v>12</v>
      </c>
      <c r="D6000" s="6" t="s">
        <v>14573</v>
      </c>
      <c r="E6000" s="6" t="s">
        <v>15457</v>
      </c>
      <c r="F6000" s="6" t="s">
        <v>15468</v>
      </c>
      <c r="G6000" s="6" t="s">
        <v>16</v>
      </c>
      <c r="H6000" s="5">
        <v>3</v>
      </c>
      <c r="I6000" s="6" t="s">
        <v>15469</v>
      </c>
      <c r="J6000" s="5">
        <v>440</v>
      </c>
    </row>
    <row r="6001" s="2" customFormat="1" spans="1:10">
      <c r="A6001" s="6">
        <f>5999</f>
        <v>5999</v>
      </c>
      <c r="B6001" s="6" t="s">
        <v>15470</v>
      </c>
      <c r="C6001" s="6" t="s">
        <v>12</v>
      </c>
      <c r="D6001" s="6" t="s">
        <v>14573</v>
      </c>
      <c r="E6001" s="6" t="s">
        <v>15457</v>
      </c>
      <c r="F6001" s="6" t="s">
        <v>15471</v>
      </c>
      <c r="G6001" s="6" t="s">
        <v>16</v>
      </c>
      <c r="H6001" s="5">
        <v>1</v>
      </c>
      <c r="I6001" s="6" t="s">
        <v>15471</v>
      </c>
      <c r="J6001" s="5">
        <v>510</v>
      </c>
    </row>
    <row r="6002" s="2" customFormat="1" spans="1:10">
      <c r="A6002" s="6">
        <f>6000</f>
        <v>6000</v>
      </c>
      <c r="B6002" s="6" t="s">
        <v>15472</v>
      </c>
      <c r="C6002" s="6" t="s">
        <v>12</v>
      </c>
      <c r="D6002" s="6" t="s">
        <v>14573</v>
      </c>
      <c r="E6002" s="6" t="s">
        <v>15457</v>
      </c>
      <c r="F6002" s="6" t="s">
        <v>15473</v>
      </c>
      <c r="G6002" s="6" t="s">
        <v>16</v>
      </c>
      <c r="H6002" s="5">
        <v>3</v>
      </c>
      <c r="I6002" s="6" t="s">
        <v>15474</v>
      </c>
      <c r="J6002" s="5">
        <v>690</v>
      </c>
    </row>
    <row r="6003" s="2" customFormat="1" spans="1:10">
      <c r="A6003" s="6">
        <f>6001</f>
        <v>6001</v>
      </c>
      <c r="B6003" s="6" t="s">
        <v>15475</v>
      </c>
      <c r="C6003" s="6" t="s">
        <v>12</v>
      </c>
      <c r="D6003" s="6" t="s">
        <v>14573</v>
      </c>
      <c r="E6003" s="6" t="s">
        <v>15457</v>
      </c>
      <c r="F6003" s="6" t="s">
        <v>15476</v>
      </c>
      <c r="G6003" s="6" t="s">
        <v>16</v>
      </c>
      <c r="H6003" s="5">
        <v>2</v>
      </c>
      <c r="I6003" s="6" t="s">
        <v>15477</v>
      </c>
      <c r="J6003" s="5">
        <v>520</v>
      </c>
    </row>
    <row r="6004" s="2" customFormat="1" spans="1:10">
      <c r="A6004" s="6">
        <f>6002</f>
        <v>6002</v>
      </c>
      <c r="B6004" s="6" t="s">
        <v>15478</v>
      </c>
      <c r="C6004" s="6" t="s">
        <v>12</v>
      </c>
      <c r="D6004" s="6" t="s">
        <v>14573</v>
      </c>
      <c r="E6004" s="6" t="s">
        <v>15457</v>
      </c>
      <c r="F6004" s="6" t="s">
        <v>15479</v>
      </c>
      <c r="G6004" s="6" t="s">
        <v>16</v>
      </c>
      <c r="H6004" s="5">
        <v>1</v>
      </c>
      <c r="I6004" s="6" t="s">
        <v>15479</v>
      </c>
      <c r="J6004" s="5">
        <v>620</v>
      </c>
    </row>
    <row r="6005" s="2" customFormat="1" ht="27" spans="1:10">
      <c r="A6005" s="6">
        <f>6003</f>
        <v>6003</v>
      </c>
      <c r="B6005" s="6" t="s">
        <v>15480</v>
      </c>
      <c r="C6005" s="6" t="s">
        <v>12</v>
      </c>
      <c r="D6005" s="6" t="s">
        <v>14573</v>
      </c>
      <c r="E6005" s="6" t="s">
        <v>15457</v>
      </c>
      <c r="F6005" s="6" t="s">
        <v>15481</v>
      </c>
      <c r="G6005" s="6" t="s">
        <v>16</v>
      </c>
      <c r="H6005" s="5">
        <v>5</v>
      </c>
      <c r="I6005" s="6" t="s">
        <v>15482</v>
      </c>
      <c r="J6005" s="5">
        <v>850</v>
      </c>
    </row>
    <row r="6006" s="2" customFormat="1" ht="27" spans="1:10">
      <c r="A6006" s="6">
        <f>6004</f>
        <v>6004</v>
      </c>
      <c r="B6006" s="6" t="s">
        <v>15483</v>
      </c>
      <c r="C6006" s="6" t="s">
        <v>12</v>
      </c>
      <c r="D6006" s="6" t="s">
        <v>14573</v>
      </c>
      <c r="E6006" s="6" t="s">
        <v>15457</v>
      </c>
      <c r="F6006" s="6" t="s">
        <v>15484</v>
      </c>
      <c r="G6006" s="6" t="s">
        <v>16</v>
      </c>
      <c r="H6006" s="5">
        <v>4</v>
      </c>
      <c r="I6006" s="6" t="s">
        <v>15485</v>
      </c>
      <c r="J6006" s="5">
        <v>670</v>
      </c>
    </row>
    <row r="6007" s="2" customFormat="1" ht="27" spans="1:10">
      <c r="A6007" s="6">
        <f>6005</f>
        <v>6005</v>
      </c>
      <c r="B6007" s="6" t="s">
        <v>15486</v>
      </c>
      <c r="C6007" s="6" t="s">
        <v>12</v>
      </c>
      <c r="D6007" s="6" t="s">
        <v>14573</v>
      </c>
      <c r="E6007" s="6" t="s">
        <v>15457</v>
      </c>
      <c r="F6007" s="6" t="s">
        <v>15487</v>
      </c>
      <c r="G6007" s="6" t="s">
        <v>16</v>
      </c>
      <c r="H6007" s="5">
        <v>5</v>
      </c>
      <c r="I6007" s="6" t="s">
        <v>15488</v>
      </c>
      <c r="J6007" s="5">
        <v>1700</v>
      </c>
    </row>
    <row r="6008" s="2" customFormat="1" spans="1:10">
      <c r="A6008" s="6">
        <f>6006</f>
        <v>6006</v>
      </c>
      <c r="B6008" s="6" t="s">
        <v>15489</v>
      </c>
      <c r="C6008" s="6" t="s">
        <v>12</v>
      </c>
      <c r="D6008" s="6" t="s">
        <v>14573</v>
      </c>
      <c r="E6008" s="6" t="s">
        <v>15457</v>
      </c>
      <c r="F6008" s="6" t="s">
        <v>15490</v>
      </c>
      <c r="G6008" s="6" t="s">
        <v>16</v>
      </c>
      <c r="H6008" s="5">
        <v>3</v>
      </c>
      <c r="I6008" s="6" t="s">
        <v>15491</v>
      </c>
      <c r="J6008" s="5">
        <v>820</v>
      </c>
    </row>
    <row r="6009" s="2" customFormat="1" spans="1:10">
      <c r="A6009" s="6">
        <f>6007</f>
        <v>6007</v>
      </c>
      <c r="B6009" s="6" t="s">
        <v>15492</v>
      </c>
      <c r="C6009" s="6" t="s">
        <v>12</v>
      </c>
      <c r="D6009" s="6" t="s">
        <v>14573</v>
      </c>
      <c r="E6009" s="6" t="s">
        <v>15457</v>
      </c>
      <c r="F6009" s="6" t="s">
        <v>15493</v>
      </c>
      <c r="G6009" s="6" t="s">
        <v>16</v>
      </c>
      <c r="H6009" s="5">
        <v>3</v>
      </c>
      <c r="I6009" s="6" t="s">
        <v>15494</v>
      </c>
      <c r="J6009" s="5">
        <v>680</v>
      </c>
    </row>
    <row r="6010" s="2" customFormat="1" spans="1:10">
      <c r="A6010" s="6">
        <f>6008</f>
        <v>6008</v>
      </c>
      <c r="B6010" s="6" t="s">
        <v>15495</v>
      </c>
      <c r="C6010" s="6" t="s">
        <v>12</v>
      </c>
      <c r="D6010" s="6" t="s">
        <v>14573</v>
      </c>
      <c r="E6010" s="6" t="s">
        <v>15457</v>
      </c>
      <c r="F6010" s="6" t="s">
        <v>15496</v>
      </c>
      <c r="G6010" s="6" t="s">
        <v>16</v>
      </c>
      <c r="H6010" s="5">
        <v>1</v>
      </c>
      <c r="I6010" s="6" t="s">
        <v>15496</v>
      </c>
      <c r="J6010" s="5">
        <v>360</v>
      </c>
    </row>
    <row r="6011" s="2" customFormat="1" ht="27" spans="1:10">
      <c r="A6011" s="6">
        <f>6009</f>
        <v>6009</v>
      </c>
      <c r="B6011" s="6" t="s">
        <v>15497</v>
      </c>
      <c r="C6011" s="6" t="s">
        <v>12</v>
      </c>
      <c r="D6011" s="6" t="s">
        <v>14573</v>
      </c>
      <c r="E6011" s="6" t="s">
        <v>15457</v>
      </c>
      <c r="F6011" s="6" t="s">
        <v>15498</v>
      </c>
      <c r="G6011" s="6" t="s">
        <v>16</v>
      </c>
      <c r="H6011" s="5">
        <v>5</v>
      </c>
      <c r="I6011" s="6" t="s">
        <v>15499</v>
      </c>
      <c r="J6011" s="5">
        <v>1620</v>
      </c>
    </row>
    <row r="6012" s="2" customFormat="1" ht="27" spans="1:10">
      <c r="A6012" s="6">
        <f>6010</f>
        <v>6010</v>
      </c>
      <c r="B6012" s="6" t="s">
        <v>15500</v>
      </c>
      <c r="C6012" s="6" t="s">
        <v>12</v>
      </c>
      <c r="D6012" s="6" t="s">
        <v>14573</v>
      </c>
      <c r="E6012" s="6" t="s">
        <v>15457</v>
      </c>
      <c r="F6012" s="6" t="s">
        <v>15501</v>
      </c>
      <c r="G6012" s="6" t="s">
        <v>16</v>
      </c>
      <c r="H6012" s="5">
        <v>4</v>
      </c>
      <c r="I6012" s="6" t="s">
        <v>15502</v>
      </c>
      <c r="J6012" s="5">
        <v>1040</v>
      </c>
    </row>
    <row r="6013" s="2" customFormat="1" spans="1:10">
      <c r="A6013" s="6">
        <f>6011</f>
        <v>6011</v>
      </c>
      <c r="B6013" s="6" t="s">
        <v>15503</v>
      </c>
      <c r="C6013" s="6" t="s">
        <v>12</v>
      </c>
      <c r="D6013" s="6" t="s">
        <v>14573</v>
      </c>
      <c r="E6013" s="6" t="s">
        <v>15457</v>
      </c>
      <c r="F6013" s="6" t="s">
        <v>15504</v>
      </c>
      <c r="G6013" s="6" t="s">
        <v>16</v>
      </c>
      <c r="H6013" s="5">
        <v>2</v>
      </c>
      <c r="I6013" s="6" t="s">
        <v>15505</v>
      </c>
      <c r="J6013" s="5">
        <v>520</v>
      </c>
    </row>
    <row r="6014" s="2" customFormat="1" spans="1:10">
      <c r="A6014" s="6">
        <f>6012</f>
        <v>6012</v>
      </c>
      <c r="B6014" s="6" t="s">
        <v>15506</v>
      </c>
      <c r="C6014" s="6" t="s">
        <v>12</v>
      </c>
      <c r="D6014" s="6" t="s">
        <v>14573</v>
      </c>
      <c r="E6014" s="6" t="s">
        <v>15457</v>
      </c>
      <c r="F6014" s="6" t="s">
        <v>15507</v>
      </c>
      <c r="G6014" s="6" t="s">
        <v>16</v>
      </c>
      <c r="H6014" s="5">
        <v>1</v>
      </c>
      <c r="I6014" s="6" t="s">
        <v>15507</v>
      </c>
      <c r="J6014" s="5">
        <v>250</v>
      </c>
    </row>
    <row r="6015" s="2" customFormat="1" ht="27" spans="1:10">
      <c r="A6015" s="6">
        <f>6013</f>
        <v>6013</v>
      </c>
      <c r="B6015" s="6" t="s">
        <v>15508</v>
      </c>
      <c r="C6015" s="6" t="s">
        <v>12</v>
      </c>
      <c r="D6015" s="6" t="s">
        <v>14573</v>
      </c>
      <c r="E6015" s="6" t="s">
        <v>15457</v>
      </c>
      <c r="F6015" s="6" t="s">
        <v>15509</v>
      </c>
      <c r="G6015" s="6" t="s">
        <v>16</v>
      </c>
      <c r="H6015" s="5">
        <v>4</v>
      </c>
      <c r="I6015" s="6" t="s">
        <v>15510</v>
      </c>
      <c r="J6015" s="5">
        <v>1230</v>
      </c>
    </row>
    <row r="6016" s="2" customFormat="1" ht="27" spans="1:10">
      <c r="A6016" s="6">
        <f>6014</f>
        <v>6014</v>
      </c>
      <c r="B6016" s="6" t="s">
        <v>15511</v>
      </c>
      <c r="C6016" s="6" t="s">
        <v>12</v>
      </c>
      <c r="D6016" s="6" t="s">
        <v>14573</v>
      </c>
      <c r="E6016" s="6" t="s">
        <v>15457</v>
      </c>
      <c r="F6016" s="6" t="s">
        <v>15512</v>
      </c>
      <c r="G6016" s="6" t="s">
        <v>16</v>
      </c>
      <c r="H6016" s="5">
        <v>4</v>
      </c>
      <c r="I6016" s="6" t="s">
        <v>15513</v>
      </c>
      <c r="J6016" s="5">
        <v>1900</v>
      </c>
    </row>
    <row r="6017" s="2" customFormat="1" spans="1:10">
      <c r="A6017" s="6">
        <f>6015</f>
        <v>6015</v>
      </c>
      <c r="B6017" s="6" t="s">
        <v>15514</v>
      </c>
      <c r="C6017" s="6" t="s">
        <v>12</v>
      </c>
      <c r="D6017" s="6" t="s">
        <v>14573</v>
      </c>
      <c r="E6017" s="6" t="s">
        <v>15457</v>
      </c>
      <c r="F6017" s="6" t="s">
        <v>15515</v>
      </c>
      <c r="G6017" s="6" t="s">
        <v>16</v>
      </c>
      <c r="H6017" s="5">
        <v>3</v>
      </c>
      <c r="I6017" s="6" t="s">
        <v>15516</v>
      </c>
      <c r="J6017" s="5">
        <v>815</v>
      </c>
    </row>
    <row r="6018" s="2" customFormat="1" spans="1:10">
      <c r="A6018" s="6">
        <f>6016</f>
        <v>6016</v>
      </c>
      <c r="B6018" s="6" t="s">
        <v>15517</v>
      </c>
      <c r="C6018" s="6" t="s">
        <v>12</v>
      </c>
      <c r="D6018" s="6" t="s">
        <v>14573</v>
      </c>
      <c r="E6018" s="6" t="s">
        <v>15457</v>
      </c>
      <c r="F6018" s="6" t="s">
        <v>15518</v>
      </c>
      <c r="G6018" s="6" t="s">
        <v>16</v>
      </c>
      <c r="H6018" s="5">
        <v>1</v>
      </c>
      <c r="I6018" s="6" t="s">
        <v>15518</v>
      </c>
      <c r="J6018" s="5">
        <v>280</v>
      </c>
    </row>
    <row r="6019" s="2" customFormat="1" spans="1:10">
      <c r="A6019" s="6">
        <f>6017</f>
        <v>6017</v>
      </c>
      <c r="B6019" s="6" t="s">
        <v>15519</v>
      </c>
      <c r="C6019" s="6" t="s">
        <v>12</v>
      </c>
      <c r="D6019" s="6" t="s">
        <v>14573</v>
      </c>
      <c r="E6019" s="6" t="s">
        <v>15457</v>
      </c>
      <c r="F6019" s="6" t="s">
        <v>15520</v>
      </c>
      <c r="G6019" s="6" t="s">
        <v>16</v>
      </c>
      <c r="H6019" s="5">
        <v>3</v>
      </c>
      <c r="I6019" s="6" t="s">
        <v>15521</v>
      </c>
      <c r="J6019" s="5">
        <v>1260</v>
      </c>
    </row>
    <row r="6020" s="2" customFormat="1" spans="1:10">
      <c r="A6020" s="6">
        <f>6018</f>
        <v>6018</v>
      </c>
      <c r="B6020" s="6" t="s">
        <v>15522</v>
      </c>
      <c r="C6020" s="6" t="s">
        <v>12</v>
      </c>
      <c r="D6020" s="6" t="s">
        <v>14573</v>
      </c>
      <c r="E6020" s="6" t="s">
        <v>15457</v>
      </c>
      <c r="F6020" s="6" t="s">
        <v>15523</v>
      </c>
      <c r="G6020" s="6" t="s">
        <v>16</v>
      </c>
      <c r="H6020" s="5">
        <v>1</v>
      </c>
      <c r="I6020" s="6" t="s">
        <v>15523</v>
      </c>
      <c r="J6020" s="5">
        <v>270</v>
      </c>
    </row>
    <row r="6021" s="2" customFormat="1" spans="1:10">
      <c r="A6021" s="6">
        <f>6019</f>
        <v>6019</v>
      </c>
      <c r="B6021" s="6" t="s">
        <v>15524</v>
      </c>
      <c r="C6021" s="6" t="s">
        <v>12</v>
      </c>
      <c r="D6021" s="6" t="s">
        <v>14573</v>
      </c>
      <c r="E6021" s="6" t="s">
        <v>15457</v>
      </c>
      <c r="F6021" s="6" t="s">
        <v>15525</v>
      </c>
      <c r="G6021" s="6" t="s">
        <v>16</v>
      </c>
      <c r="H6021" s="5">
        <v>2</v>
      </c>
      <c r="I6021" s="6" t="s">
        <v>15526</v>
      </c>
      <c r="J6021" s="5">
        <v>680</v>
      </c>
    </row>
    <row r="6022" s="2" customFormat="1" spans="1:10">
      <c r="A6022" s="6">
        <f>6020</f>
        <v>6020</v>
      </c>
      <c r="B6022" s="6" t="s">
        <v>15527</v>
      </c>
      <c r="C6022" s="6" t="s">
        <v>12</v>
      </c>
      <c r="D6022" s="6" t="s">
        <v>14573</v>
      </c>
      <c r="E6022" s="6" t="s">
        <v>15457</v>
      </c>
      <c r="F6022" s="6" t="s">
        <v>15528</v>
      </c>
      <c r="G6022" s="6" t="s">
        <v>16</v>
      </c>
      <c r="H6022" s="5">
        <v>1</v>
      </c>
      <c r="I6022" s="6" t="s">
        <v>15528</v>
      </c>
      <c r="J6022" s="5">
        <v>265</v>
      </c>
    </row>
    <row r="6023" s="2" customFormat="1" spans="1:10">
      <c r="A6023" s="6">
        <f>6021</f>
        <v>6021</v>
      </c>
      <c r="B6023" s="6" t="s">
        <v>15529</v>
      </c>
      <c r="C6023" s="6" t="s">
        <v>12</v>
      </c>
      <c r="D6023" s="6" t="s">
        <v>14573</v>
      </c>
      <c r="E6023" s="6" t="s">
        <v>15457</v>
      </c>
      <c r="F6023" s="6" t="s">
        <v>15530</v>
      </c>
      <c r="G6023" s="6" t="s">
        <v>16</v>
      </c>
      <c r="H6023" s="5">
        <v>2</v>
      </c>
      <c r="I6023" s="6" t="s">
        <v>15531</v>
      </c>
      <c r="J6023" s="5">
        <v>630</v>
      </c>
    </row>
    <row r="6024" s="2" customFormat="1" spans="1:10">
      <c r="A6024" s="6">
        <f>6022</f>
        <v>6022</v>
      </c>
      <c r="B6024" s="6" t="s">
        <v>15532</v>
      </c>
      <c r="C6024" s="6" t="s">
        <v>12</v>
      </c>
      <c r="D6024" s="6" t="s">
        <v>14573</v>
      </c>
      <c r="E6024" s="6" t="s">
        <v>15457</v>
      </c>
      <c r="F6024" s="6" t="s">
        <v>15533</v>
      </c>
      <c r="G6024" s="6" t="s">
        <v>16</v>
      </c>
      <c r="H6024" s="5">
        <v>1</v>
      </c>
      <c r="I6024" s="6" t="s">
        <v>15533</v>
      </c>
      <c r="J6024" s="5">
        <v>270</v>
      </c>
    </row>
    <row r="6025" s="2" customFormat="1" ht="27" spans="1:10">
      <c r="A6025" s="6">
        <f>6023</f>
        <v>6023</v>
      </c>
      <c r="B6025" s="6" t="s">
        <v>15534</v>
      </c>
      <c r="C6025" s="6" t="s">
        <v>12</v>
      </c>
      <c r="D6025" s="6" t="s">
        <v>14573</v>
      </c>
      <c r="E6025" s="6" t="s">
        <v>15457</v>
      </c>
      <c r="F6025" s="6" t="s">
        <v>15535</v>
      </c>
      <c r="G6025" s="6" t="s">
        <v>16</v>
      </c>
      <c r="H6025" s="5">
        <v>5</v>
      </c>
      <c r="I6025" s="6" t="s">
        <v>15536</v>
      </c>
      <c r="J6025" s="5">
        <v>860</v>
      </c>
    </row>
    <row r="6026" s="2" customFormat="1" spans="1:10">
      <c r="A6026" s="6">
        <f>6024</f>
        <v>6024</v>
      </c>
      <c r="B6026" s="6" t="s">
        <v>15537</v>
      </c>
      <c r="C6026" s="6" t="s">
        <v>12</v>
      </c>
      <c r="D6026" s="6" t="s">
        <v>14573</v>
      </c>
      <c r="E6026" s="6" t="s">
        <v>15457</v>
      </c>
      <c r="F6026" s="6" t="s">
        <v>15538</v>
      </c>
      <c r="G6026" s="6" t="s">
        <v>16</v>
      </c>
      <c r="H6026" s="5">
        <v>1</v>
      </c>
      <c r="I6026" s="6" t="s">
        <v>15538</v>
      </c>
      <c r="J6026" s="5">
        <v>265</v>
      </c>
    </row>
    <row r="6027" s="2" customFormat="1" spans="1:10">
      <c r="A6027" s="6">
        <f>6025</f>
        <v>6025</v>
      </c>
      <c r="B6027" s="6" t="s">
        <v>15539</v>
      </c>
      <c r="C6027" s="6" t="s">
        <v>12</v>
      </c>
      <c r="D6027" s="6" t="s">
        <v>14573</v>
      </c>
      <c r="E6027" s="6" t="s">
        <v>15457</v>
      </c>
      <c r="F6027" s="6" t="s">
        <v>15540</v>
      </c>
      <c r="G6027" s="6" t="s">
        <v>16</v>
      </c>
      <c r="H6027" s="5">
        <v>3</v>
      </c>
      <c r="I6027" s="6" t="s">
        <v>15541</v>
      </c>
      <c r="J6027" s="5">
        <v>1220</v>
      </c>
    </row>
    <row r="6028" s="2" customFormat="1" spans="1:10">
      <c r="A6028" s="6">
        <f>6026</f>
        <v>6026</v>
      </c>
      <c r="B6028" s="6" t="s">
        <v>15542</v>
      </c>
      <c r="C6028" s="6" t="s">
        <v>12</v>
      </c>
      <c r="D6028" s="6" t="s">
        <v>14573</v>
      </c>
      <c r="E6028" s="6" t="s">
        <v>15457</v>
      </c>
      <c r="F6028" s="6" t="s">
        <v>15543</v>
      </c>
      <c r="G6028" s="6" t="s">
        <v>16</v>
      </c>
      <c r="H6028" s="5">
        <v>2</v>
      </c>
      <c r="I6028" s="6" t="s">
        <v>15544</v>
      </c>
      <c r="J6028" s="5">
        <v>730</v>
      </c>
    </row>
    <row r="6029" s="2" customFormat="1" spans="1:10">
      <c r="A6029" s="6">
        <f>6027</f>
        <v>6027</v>
      </c>
      <c r="B6029" s="6" t="s">
        <v>15545</v>
      </c>
      <c r="C6029" s="6" t="s">
        <v>12</v>
      </c>
      <c r="D6029" s="6" t="s">
        <v>14573</v>
      </c>
      <c r="E6029" s="6" t="s">
        <v>15457</v>
      </c>
      <c r="F6029" s="6" t="s">
        <v>15546</v>
      </c>
      <c r="G6029" s="6" t="s">
        <v>16</v>
      </c>
      <c r="H6029" s="5">
        <v>1</v>
      </c>
      <c r="I6029" s="6" t="s">
        <v>15546</v>
      </c>
      <c r="J6029" s="5">
        <v>390</v>
      </c>
    </row>
    <row r="6030" s="2" customFormat="1" ht="27" spans="1:10">
      <c r="A6030" s="6">
        <f>6028</f>
        <v>6028</v>
      </c>
      <c r="B6030" s="6" t="s">
        <v>15547</v>
      </c>
      <c r="C6030" s="6" t="s">
        <v>12</v>
      </c>
      <c r="D6030" s="6" t="s">
        <v>14573</v>
      </c>
      <c r="E6030" s="6" t="s">
        <v>15457</v>
      </c>
      <c r="F6030" s="6" t="s">
        <v>15548</v>
      </c>
      <c r="G6030" s="6" t="s">
        <v>16</v>
      </c>
      <c r="H6030" s="5">
        <v>4</v>
      </c>
      <c r="I6030" s="6" t="s">
        <v>15549</v>
      </c>
      <c r="J6030" s="5">
        <v>1530</v>
      </c>
    </row>
    <row r="6031" s="2" customFormat="1" spans="1:10">
      <c r="A6031" s="6">
        <f>6029</f>
        <v>6029</v>
      </c>
      <c r="B6031" s="6" t="s">
        <v>15550</v>
      </c>
      <c r="C6031" s="6" t="s">
        <v>12</v>
      </c>
      <c r="D6031" s="6" t="s">
        <v>14573</v>
      </c>
      <c r="E6031" s="6" t="s">
        <v>15457</v>
      </c>
      <c r="F6031" s="6" t="s">
        <v>15551</v>
      </c>
      <c r="G6031" s="6" t="s">
        <v>16</v>
      </c>
      <c r="H6031" s="5">
        <v>3</v>
      </c>
      <c r="I6031" s="6" t="s">
        <v>15552</v>
      </c>
      <c r="J6031" s="5">
        <v>810</v>
      </c>
    </row>
    <row r="6032" s="2" customFormat="1" spans="1:10">
      <c r="A6032" s="6">
        <f>6030</f>
        <v>6030</v>
      </c>
      <c r="B6032" s="6" t="s">
        <v>15553</v>
      </c>
      <c r="C6032" s="6" t="s">
        <v>12</v>
      </c>
      <c r="D6032" s="6" t="s">
        <v>14573</v>
      </c>
      <c r="E6032" s="6" t="s">
        <v>15457</v>
      </c>
      <c r="F6032" s="6" t="s">
        <v>15554</v>
      </c>
      <c r="G6032" s="6" t="s">
        <v>16</v>
      </c>
      <c r="H6032" s="5">
        <v>1</v>
      </c>
      <c r="I6032" s="6" t="s">
        <v>15554</v>
      </c>
      <c r="J6032" s="5">
        <v>265</v>
      </c>
    </row>
    <row r="6033" s="2" customFormat="1" ht="27" spans="1:10">
      <c r="A6033" s="6">
        <f>6031</f>
        <v>6031</v>
      </c>
      <c r="B6033" s="6" t="s">
        <v>15555</v>
      </c>
      <c r="C6033" s="6" t="s">
        <v>12</v>
      </c>
      <c r="D6033" s="6" t="s">
        <v>14573</v>
      </c>
      <c r="E6033" s="6" t="s">
        <v>15457</v>
      </c>
      <c r="F6033" s="6" t="s">
        <v>15556</v>
      </c>
      <c r="G6033" s="6" t="s">
        <v>16</v>
      </c>
      <c r="H6033" s="5">
        <v>5</v>
      </c>
      <c r="I6033" s="6" t="s">
        <v>15557</v>
      </c>
      <c r="J6033" s="5">
        <v>1100</v>
      </c>
    </row>
    <row r="6034" s="2" customFormat="1" spans="1:10">
      <c r="A6034" s="6">
        <f>6032</f>
        <v>6032</v>
      </c>
      <c r="B6034" s="6" t="s">
        <v>15558</v>
      </c>
      <c r="C6034" s="6" t="s">
        <v>12</v>
      </c>
      <c r="D6034" s="6" t="s">
        <v>14573</v>
      </c>
      <c r="E6034" s="6" t="s">
        <v>15457</v>
      </c>
      <c r="F6034" s="6" t="s">
        <v>15559</v>
      </c>
      <c r="G6034" s="6" t="s">
        <v>16</v>
      </c>
      <c r="H6034" s="5">
        <v>1</v>
      </c>
      <c r="I6034" s="6" t="s">
        <v>15559</v>
      </c>
      <c r="J6034" s="5">
        <v>522</v>
      </c>
    </row>
    <row r="6035" s="2" customFormat="1" spans="1:10">
      <c r="A6035" s="6">
        <f>6033</f>
        <v>6033</v>
      </c>
      <c r="B6035" s="6" t="s">
        <v>15560</v>
      </c>
      <c r="C6035" s="6" t="s">
        <v>12</v>
      </c>
      <c r="D6035" s="6" t="s">
        <v>14573</v>
      </c>
      <c r="E6035" s="6" t="s">
        <v>15457</v>
      </c>
      <c r="F6035" s="6" t="s">
        <v>15561</v>
      </c>
      <c r="G6035" s="6" t="s">
        <v>16</v>
      </c>
      <c r="H6035" s="5">
        <v>2</v>
      </c>
      <c r="I6035" s="6" t="s">
        <v>15562</v>
      </c>
      <c r="J6035" s="5">
        <v>548</v>
      </c>
    </row>
    <row r="6036" s="2" customFormat="1" ht="27" spans="1:10">
      <c r="A6036" s="6">
        <f>6034</f>
        <v>6034</v>
      </c>
      <c r="B6036" s="6" t="s">
        <v>15563</v>
      </c>
      <c r="C6036" s="6" t="s">
        <v>12</v>
      </c>
      <c r="D6036" s="6" t="s">
        <v>14573</v>
      </c>
      <c r="E6036" s="6" t="s">
        <v>15457</v>
      </c>
      <c r="F6036" s="6" t="s">
        <v>15564</v>
      </c>
      <c r="G6036" s="6" t="s">
        <v>16</v>
      </c>
      <c r="H6036" s="5">
        <v>6</v>
      </c>
      <c r="I6036" s="6" t="s">
        <v>15565</v>
      </c>
      <c r="J6036" s="5">
        <v>1100</v>
      </c>
    </row>
    <row r="6037" s="2" customFormat="1" spans="1:10">
      <c r="A6037" s="6">
        <f>6035</f>
        <v>6035</v>
      </c>
      <c r="B6037" s="6" t="s">
        <v>15566</v>
      </c>
      <c r="C6037" s="6" t="s">
        <v>12</v>
      </c>
      <c r="D6037" s="6" t="s">
        <v>14573</v>
      </c>
      <c r="E6037" s="6" t="s">
        <v>15457</v>
      </c>
      <c r="F6037" s="6" t="s">
        <v>15567</v>
      </c>
      <c r="G6037" s="6" t="s">
        <v>16</v>
      </c>
      <c r="H6037" s="5">
        <v>2</v>
      </c>
      <c r="I6037" s="6" t="s">
        <v>15568</v>
      </c>
      <c r="J6037" s="5">
        <v>540</v>
      </c>
    </row>
    <row r="6038" s="2" customFormat="1" spans="1:10">
      <c r="A6038" s="6">
        <f>6036</f>
        <v>6036</v>
      </c>
      <c r="B6038" s="6" t="s">
        <v>15569</v>
      </c>
      <c r="C6038" s="6" t="s">
        <v>12</v>
      </c>
      <c r="D6038" s="6" t="s">
        <v>14573</v>
      </c>
      <c r="E6038" s="6" t="s">
        <v>15457</v>
      </c>
      <c r="F6038" s="6" t="s">
        <v>15570</v>
      </c>
      <c r="G6038" s="6" t="s">
        <v>16</v>
      </c>
      <c r="H6038" s="5">
        <v>1</v>
      </c>
      <c r="I6038" s="6" t="s">
        <v>15570</v>
      </c>
      <c r="J6038" s="5">
        <v>405</v>
      </c>
    </row>
    <row r="6039" s="2" customFormat="1" ht="27" spans="1:10">
      <c r="A6039" s="6">
        <f>6037</f>
        <v>6037</v>
      </c>
      <c r="B6039" s="6" t="s">
        <v>15571</v>
      </c>
      <c r="C6039" s="6" t="s">
        <v>12</v>
      </c>
      <c r="D6039" s="6" t="s">
        <v>14573</v>
      </c>
      <c r="E6039" s="6" t="s">
        <v>15457</v>
      </c>
      <c r="F6039" s="6" t="s">
        <v>15572</v>
      </c>
      <c r="G6039" s="6" t="s">
        <v>16</v>
      </c>
      <c r="H6039" s="5">
        <v>4</v>
      </c>
      <c r="I6039" s="6" t="s">
        <v>15573</v>
      </c>
      <c r="J6039" s="5">
        <v>445</v>
      </c>
    </row>
    <row r="6040" s="2" customFormat="1" spans="1:10">
      <c r="A6040" s="6">
        <f>6038</f>
        <v>6038</v>
      </c>
      <c r="B6040" s="6" t="s">
        <v>15574</v>
      </c>
      <c r="C6040" s="6" t="s">
        <v>12</v>
      </c>
      <c r="D6040" s="6" t="s">
        <v>14573</v>
      </c>
      <c r="E6040" s="6" t="s">
        <v>15457</v>
      </c>
      <c r="F6040" s="6" t="s">
        <v>15575</v>
      </c>
      <c r="G6040" s="6" t="s">
        <v>16</v>
      </c>
      <c r="H6040" s="5">
        <v>2</v>
      </c>
      <c r="I6040" s="6" t="s">
        <v>15576</v>
      </c>
      <c r="J6040" s="5">
        <v>678</v>
      </c>
    </row>
    <row r="6041" s="2" customFormat="1" ht="27" spans="1:10">
      <c r="A6041" s="6">
        <f>6039</f>
        <v>6039</v>
      </c>
      <c r="B6041" s="6" t="s">
        <v>15577</v>
      </c>
      <c r="C6041" s="6" t="s">
        <v>12</v>
      </c>
      <c r="D6041" s="6" t="s">
        <v>14573</v>
      </c>
      <c r="E6041" s="6" t="s">
        <v>15457</v>
      </c>
      <c r="F6041" s="6" t="s">
        <v>15578</v>
      </c>
      <c r="G6041" s="6" t="s">
        <v>16</v>
      </c>
      <c r="H6041" s="5">
        <v>4</v>
      </c>
      <c r="I6041" s="6" t="s">
        <v>15579</v>
      </c>
      <c r="J6041" s="5">
        <v>1960</v>
      </c>
    </row>
    <row r="6042" s="2" customFormat="1" spans="1:10">
      <c r="A6042" s="6">
        <f>6040</f>
        <v>6040</v>
      </c>
      <c r="B6042" s="6" t="s">
        <v>15580</v>
      </c>
      <c r="C6042" s="6" t="s">
        <v>12</v>
      </c>
      <c r="D6042" s="6" t="s">
        <v>14573</v>
      </c>
      <c r="E6042" s="6" t="s">
        <v>15457</v>
      </c>
      <c r="F6042" s="6" t="s">
        <v>15581</v>
      </c>
      <c r="G6042" s="6" t="s">
        <v>16</v>
      </c>
      <c r="H6042" s="5">
        <v>2</v>
      </c>
      <c r="I6042" s="6" t="s">
        <v>15582</v>
      </c>
      <c r="J6042" s="5">
        <v>440</v>
      </c>
    </row>
    <row r="6043" s="2" customFormat="1" spans="1:10">
      <c r="A6043" s="6">
        <f>6041</f>
        <v>6041</v>
      </c>
      <c r="B6043" s="6" t="s">
        <v>15583</v>
      </c>
      <c r="C6043" s="6" t="s">
        <v>12</v>
      </c>
      <c r="D6043" s="6" t="s">
        <v>14573</v>
      </c>
      <c r="E6043" s="6" t="s">
        <v>15457</v>
      </c>
      <c r="F6043" s="6" t="s">
        <v>15584</v>
      </c>
      <c r="G6043" s="6" t="s">
        <v>16</v>
      </c>
      <c r="H6043" s="5">
        <v>1</v>
      </c>
      <c r="I6043" s="6" t="s">
        <v>15584</v>
      </c>
      <c r="J6043" s="5">
        <v>370</v>
      </c>
    </row>
    <row r="6044" s="2" customFormat="1" spans="1:10">
      <c r="A6044" s="6">
        <f>6042</f>
        <v>6042</v>
      </c>
      <c r="B6044" s="6" t="s">
        <v>15585</v>
      </c>
      <c r="C6044" s="6" t="s">
        <v>12</v>
      </c>
      <c r="D6044" s="6" t="s">
        <v>14573</v>
      </c>
      <c r="E6044" s="6" t="s">
        <v>15457</v>
      </c>
      <c r="F6044" s="6" t="s">
        <v>15586</v>
      </c>
      <c r="G6044" s="6" t="s">
        <v>16</v>
      </c>
      <c r="H6044" s="5">
        <v>1</v>
      </c>
      <c r="I6044" s="6" t="s">
        <v>15586</v>
      </c>
      <c r="J6044" s="5">
        <v>367</v>
      </c>
    </row>
    <row r="6045" s="2" customFormat="1" spans="1:10">
      <c r="A6045" s="6">
        <f>6043</f>
        <v>6043</v>
      </c>
      <c r="B6045" s="6" t="s">
        <v>15587</v>
      </c>
      <c r="C6045" s="6" t="s">
        <v>12</v>
      </c>
      <c r="D6045" s="6" t="s">
        <v>14573</v>
      </c>
      <c r="E6045" s="6" t="s">
        <v>15457</v>
      </c>
      <c r="F6045" s="6" t="s">
        <v>15588</v>
      </c>
      <c r="G6045" s="6" t="s">
        <v>16</v>
      </c>
      <c r="H6045" s="5">
        <v>3</v>
      </c>
      <c r="I6045" s="6" t="s">
        <v>15589</v>
      </c>
      <c r="J6045" s="5">
        <v>665</v>
      </c>
    </row>
    <row r="6046" s="2" customFormat="1" spans="1:10">
      <c r="A6046" s="6">
        <f>6044</f>
        <v>6044</v>
      </c>
      <c r="B6046" s="6" t="s">
        <v>15590</v>
      </c>
      <c r="C6046" s="6" t="s">
        <v>12</v>
      </c>
      <c r="D6046" s="6" t="s">
        <v>14573</v>
      </c>
      <c r="E6046" s="6" t="s">
        <v>15457</v>
      </c>
      <c r="F6046" s="6" t="s">
        <v>15591</v>
      </c>
      <c r="G6046" s="6" t="s">
        <v>16</v>
      </c>
      <c r="H6046" s="5">
        <v>2</v>
      </c>
      <c r="I6046" s="6" t="s">
        <v>15592</v>
      </c>
      <c r="J6046" s="5">
        <v>380</v>
      </c>
    </row>
    <row r="6047" s="2" customFormat="1" ht="27" spans="1:10">
      <c r="A6047" s="6">
        <f>6045</f>
        <v>6045</v>
      </c>
      <c r="B6047" s="6" t="s">
        <v>15593</v>
      </c>
      <c r="C6047" s="6" t="s">
        <v>12</v>
      </c>
      <c r="D6047" s="6" t="s">
        <v>14573</v>
      </c>
      <c r="E6047" s="6" t="s">
        <v>15457</v>
      </c>
      <c r="F6047" s="6" t="s">
        <v>15594</v>
      </c>
      <c r="G6047" s="6" t="s">
        <v>16</v>
      </c>
      <c r="H6047" s="5">
        <v>4</v>
      </c>
      <c r="I6047" s="6" t="s">
        <v>15595</v>
      </c>
      <c r="J6047" s="5">
        <v>700</v>
      </c>
    </row>
    <row r="6048" s="2" customFormat="1" spans="1:10">
      <c r="A6048" s="6">
        <f>6046</f>
        <v>6046</v>
      </c>
      <c r="B6048" s="6" t="s">
        <v>15596</v>
      </c>
      <c r="C6048" s="6" t="s">
        <v>12</v>
      </c>
      <c r="D6048" s="6" t="s">
        <v>14573</v>
      </c>
      <c r="E6048" s="6" t="s">
        <v>15457</v>
      </c>
      <c r="F6048" s="6" t="s">
        <v>15597</v>
      </c>
      <c r="G6048" s="6" t="s">
        <v>16</v>
      </c>
      <c r="H6048" s="5">
        <v>1</v>
      </c>
      <c r="I6048" s="6" t="s">
        <v>15597</v>
      </c>
      <c r="J6048" s="5">
        <v>265</v>
      </c>
    </row>
    <row r="6049" s="2" customFormat="1" spans="1:10">
      <c r="A6049" s="6">
        <f>6047</f>
        <v>6047</v>
      </c>
      <c r="B6049" s="6" t="s">
        <v>15598</v>
      </c>
      <c r="C6049" s="6" t="s">
        <v>12</v>
      </c>
      <c r="D6049" s="6" t="s">
        <v>14573</v>
      </c>
      <c r="E6049" s="6" t="s">
        <v>15457</v>
      </c>
      <c r="F6049" s="6" t="s">
        <v>15599</v>
      </c>
      <c r="G6049" s="6" t="s">
        <v>16</v>
      </c>
      <c r="H6049" s="5">
        <v>1</v>
      </c>
      <c r="I6049" s="6" t="s">
        <v>15599</v>
      </c>
      <c r="J6049" s="5">
        <v>270</v>
      </c>
    </row>
    <row r="6050" s="2" customFormat="1" spans="1:10">
      <c r="A6050" s="6">
        <f>6048</f>
        <v>6048</v>
      </c>
      <c r="B6050" s="6" t="s">
        <v>15600</v>
      </c>
      <c r="C6050" s="6" t="s">
        <v>12</v>
      </c>
      <c r="D6050" s="6" t="s">
        <v>14573</v>
      </c>
      <c r="E6050" s="6" t="s">
        <v>15457</v>
      </c>
      <c r="F6050" s="6" t="s">
        <v>15601</v>
      </c>
      <c r="G6050" s="6" t="s">
        <v>16</v>
      </c>
      <c r="H6050" s="5">
        <v>1</v>
      </c>
      <c r="I6050" s="6" t="s">
        <v>15601</v>
      </c>
      <c r="J6050" s="5">
        <v>520</v>
      </c>
    </row>
    <row r="6051" s="2" customFormat="1" spans="1:10">
      <c r="A6051" s="6">
        <f>6049</f>
        <v>6049</v>
      </c>
      <c r="B6051" s="6" t="s">
        <v>15602</v>
      </c>
      <c r="C6051" s="6" t="s">
        <v>12</v>
      </c>
      <c r="D6051" s="6" t="s">
        <v>14573</v>
      </c>
      <c r="E6051" s="6" t="s">
        <v>15457</v>
      </c>
      <c r="F6051" s="6" t="s">
        <v>15603</v>
      </c>
      <c r="G6051" s="6" t="s">
        <v>16</v>
      </c>
      <c r="H6051" s="5">
        <v>2</v>
      </c>
      <c r="I6051" s="6" t="s">
        <v>15604</v>
      </c>
      <c r="J6051" s="5">
        <v>820</v>
      </c>
    </row>
    <row r="6052" s="2" customFormat="1" spans="1:10">
      <c r="A6052" s="6">
        <f>6050</f>
        <v>6050</v>
      </c>
      <c r="B6052" s="6" t="s">
        <v>15605</v>
      </c>
      <c r="C6052" s="6" t="s">
        <v>12</v>
      </c>
      <c r="D6052" s="6" t="s">
        <v>14573</v>
      </c>
      <c r="E6052" s="6" t="s">
        <v>15457</v>
      </c>
      <c r="F6052" s="6" t="s">
        <v>15606</v>
      </c>
      <c r="G6052" s="6" t="s">
        <v>16</v>
      </c>
      <c r="H6052" s="5">
        <v>1</v>
      </c>
      <c r="I6052" s="6" t="s">
        <v>15606</v>
      </c>
      <c r="J6052" s="5">
        <v>270</v>
      </c>
    </row>
    <row r="6053" s="2" customFormat="1" spans="1:10">
      <c r="A6053" s="6">
        <f>6051</f>
        <v>6051</v>
      </c>
      <c r="B6053" s="6" t="s">
        <v>15607</v>
      </c>
      <c r="C6053" s="6" t="s">
        <v>12</v>
      </c>
      <c r="D6053" s="6" t="s">
        <v>14573</v>
      </c>
      <c r="E6053" s="6" t="s">
        <v>15457</v>
      </c>
      <c r="F6053" s="6" t="s">
        <v>15608</v>
      </c>
      <c r="G6053" s="6" t="s">
        <v>16</v>
      </c>
      <c r="H6053" s="5">
        <v>2</v>
      </c>
      <c r="I6053" s="6" t="s">
        <v>15609</v>
      </c>
      <c r="J6053" s="5">
        <v>990</v>
      </c>
    </row>
    <row r="6054" s="2" customFormat="1" spans="1:10">
      <c r="A6054" s="6">
        <f>6052</f>
        <v>6052</v>
      </c>
      <c r="B6054" s="6" t="s">
        <v>15610</v>
      </c>
      <c r="C6054" s="6" t="s">
        <v>12</v>
      </c>
      <c r="D6054" s="6" t="s">
        <v>14573</v>
      </c>
      <c r="E6054" s="6" t="s">
        <v>15457</v>
      </c>
      <c r="F6054" s="6" t="s">
        <v>15611</v>
      </c>
      <c r="G6054" s="6" t="s">
        <v>16</v>
      </c>
      <c r="H6054" s="5">
        <v>1</v>
      </c>
      <c r="I6054" s="6" t="s">
        <v>15611</v>
      </c>
      <c r="J6054" s="5">
        <v>270</v>
      </c>
    </row>
    <row r="6055" s="2" customFormat="1" ht="27" spans="1:10">
      <c r="A6055" s="6">
        <f>6053</f>
        <v>6053</v>
      </c>
      <c r="B6055" s="6" t="s">
        <v>15612</v>
      </c>
      <c r="C6055" s="6" t="s">
        <v>12</v>
      </c>
      <c r="D6055" s="6" t="s">
        <v>14573</v>
      </c>
      <c r="E6055" s="6" t="s">
        <v>15457</v>
      </c>
      <c r="F6055" s="6" t="s">
        <v>15613</v>
      </c>
      <c r="G6055" s="6" t="s">
        <v>16</v>
      </c>
      <c r="H6055" s="5">
        <v>5</v>
      </c>
      <c r="I6055" s="6" t="s">
        <v>15614</v>
      </c>
      <c r="J6055" s="5">
        <v>860</v>
      </c>
    </row>
    <row r="6056" s="2" customFormat="1" spans="1:10">
      <c r="A6056" s="6">
        <f>6054</f>
        <v>6054</v>
      </c>
      <c r="B6056" s="6" t="s">
        <v>15615</v>
      </c>
      <c r="C6056" s="6" t="s">
        <v>12</v>
      </c>
      <c r="D6056" s="6" t="s">
        <v>14573</v>
      </c>
      <c r="E6056" s="6" t="s">
        <v>15457</v>
      </c>
      <c r="F6056" s="6" t="s">
        <v>15616</v>
      </c>
      <c r="G6056" s="6" t="s">
        <v>16</v>
      </c>
      <c r="H6056" s="5">
        <v>2</v>
      </c>
      <c r="I6056" s="6" t="s">
        <v>15617</v>
      </c>
      <c r="J6056" s="5">
        <v>640</v>
      </c>
    </row>
    <row r="6057" s="2" customFormat="1" spans="1:10">
      <c r="A6057" s="6">
        <f>6055</f>
        <v>6055</v>
      </c>
      <c r="B6057" s="6" t="s">
        <v>15618</v>
      </c>
      <c r="C6057" s="6" t="s">
        <v>12</v>
      </c>
      <c r="D6057" s="6" t="s">
        <v>14573</v>
      </c>
      <c r="E6057" s="6" t="s">
        <v>15457</v>
      </c>
      <c r="F6057" s="6" t="s">
        <v>15619</v>
      </c>
      <c r="G6057" s="6" t="s">
        <v>16</v>
      </c>
      <c r="H6057" s="5">
        <v>3</v>
      </c>
      <c r="I6057" s="6" t="s">
        <v>15620</v>
      </c>
      <c r="J6057" s="5">
        <v>920</v>
      </c>
    </row>
    <row r="6058" s="2" customFormat="1" spans="1:10">
      <c r="A6058" s="6">
        <f>6056</f>
        <v>6056</v>
      </c>
      <c r="B6058" s="6" t="s">
        <v>15621</v>
      </c>
      <c r="C6058" s="6" t="s">
        <v>12</v>
      </c>
      <c r="D6058" s="6" t="s">
        <v>14573</v>
      </c>
      <c r="E6058" s="6" t="s">
        <v>15457</v>
      </c>
      <c r="F6058" s="6" t="s">
        <v>15622</v>
      </c>
      <c r="G6058" s="6" t="s">
        <v>16</v>
      </c>
      <c r="H6058" s="5">
        <v>1</v>
      </c>
      <c r="I6058" s="6" t="s">
        <v>15622</v>
      </c>
      <c r="J6058" s="5">
        <v>370</v>
      </c>
    </row>
    <row r="6059" s="2" customFormat="1" ht="27" spans="1:10">
      <c r="A6059" s="6">
        <f>6057</f>
        <v>6057</v>
      </c>
      <c r="B6059" s="6" t="s">
        <v>15623</v>
      </c>
      <c r="C6059" s="6" t="s">
        <v>12</v>
      </c>
      <c r="D6059" s="6" t="s">
        <v>14573</v>
      </c>
      <c r="E6059" s="6" t="s">
        <v>15457</v>
      </c>
      <c r="F6059" s="6" t="s">
        <v>15624</v>
      </c>
      <c r="G6059" s="6" t="s">
        <v>16</v>
      </c>
      <c r="H6059" s="5">
        <v>5</v>
      </c>
      <c r="I6059" s="6" t="s">
        <v>15625</v>
      </c>
      <c r="J6059" s="5">
        <v>694</v>
      </c>
    </row>
    <row r="6060" s="2" customFormat="1" spans="1:10">
      <c r="A6060" s="6">
        <f>6058</f>
        <v>6058</v>
      </c>
      <c r="B6060" s="6" t="s">
        <v>15626</v>
      </c>
      <c r="C6060" s="6" t="s">
        <v>12</v>
      </c>
      <c r="D6060" s="6" t="s">
        <v>14573</v>
      </c>
      <c r="E6060" s="6" t="s">
        <v>15457</v>
      </c>
      <c r="F6060" s="6" t="s">
        <v>15627</v>
      </c>
      <c r="G6060" s="6" t="s">
        <v>16</v>
      </c>
      <c r="H6060" s="5">
        <v>1</v>
      </c>
      <c r="I6060" s="6" t="s">
        <v>15627</v>
      </c>
      <c r="J6060" s="5">
        <v>270</v>
      </c>
    </row>
    <row r="6061" s="2" customFormat="1" spans="1:10">
      <c r="A6061" s="6">
        <f>6059</f>
        <v>6059</v>
      </c>
      <c r="B6061" s="6" t="s">
        <v>15628</v>
      </c>
      <c r="C6061" s="6" t="s">
        <v>12</v>
      </c>
      <c r="D6061" s="6" t="s">
        <v>14573</v>
      </c>
      <c r="E6061" s="6" t="s">
        <v>15457</v>
      </c>
      <c r="F6061" s="6" t="s">
        <v>15276</v>
      </c>
      <c r="G6061" s="6" t="s">
        <v>16</v>
      </c>
      <c r="H6061" s="5">
        <v>1</v>
      </c>
      <c r="I6061" s="6" t="s">
        <v>15276</v>
      </c>
      <c r="J6061" s="5">
        <v>270</v>
      </c>
    </row>
    <row r="6062" s="2" customFormat="1" spans="1:10">
      <c r="A6062" s="6">
        <f>6060</f>
        <v>6060</v>
      </c>
      <c r="B6062" s="6" t="s">
        <v>15629</v>
      </c>
      <c r="C6062" s="6" t="s">
        <v>12</v>
      </c>
      <c r="D6062" s="6" t="s">
        <v>14573</v>
      </c>
      <c r="E6062" s="6" t="s">
        <v>15457</v>
      </c>
      <c r="F6062" s="6" t="s">
        <v>15630</v>
      </c>
      <c r="G6062" s="6" t="s">
        <v>16</v>
      </c>
      <c r="H6062" s="5">
        <v>1</v>
      </c>
      <c r="I6062" s="6" t="s">
        <v>15630</v>
      </c>
      <c r="J6062" s="5">
        <v>265</v>
      </c>
    </row>
    <row r="6063" s="2" customFormat="1" spans="1:10">
      <c r="A6063" s="6">
        <f>6061</f>
        <v>6061</v>
      </c>
      <c r="B6063" s="6" t="s">
        <v>15631</v>
      </c>
      <c r="C6063" s="6" t="s">
        <v>12</v>
      </c>
      <c r="D6063" s="6" t="s">
        <v>14573</v>
      </c>
      <c r="E6063" s="6" t="s">
        <v>15457</v>
      </c>
      <c r="F6063" s="6" t="s">
        <v>15632</v>
      </c>
      <c r="G6063" s="6" t="s">
        <v>16</v>
      </c>
      <c r="H6063" s="5">
        <v>1</v>
      </c>
      <c r="I6063" s="6" t="s">
        <v>15632</v>
      </c>
      <c r="J6063" s="5">
        <v>365</v>
      </c>
    </row>
    <row r="6064" s="2" customFormat="1" spans="1:10">
      <c r="A6064" s="6">
        <f>6062</f>
        <v>6062</v>
      </c>
      <c r="B6064" s="6" t="s">
        <v>15633</v>
      </c>
      <c r="C6064" s="6" t="s">
        <v>12</v>
      </c>
      <c r="D6064" s="6" t="s">
        <v>14573</v>
      </c>
      <c r="E6064" s="6" t="s">
        <v>15457</v>
      </c>
      <c r="F6064" s="6" t="s">
        <v>15634</v>
      </c>
      <c r="G6064" s="6" t="s">
        <v>16</v>
      </c>
      <c r="H6064" s="5">
        <v>1</v>
      </c>
      <c r="I6064" s="6" t="s">
        <v>15634</v>
      </c>
      <c r="J6064" s="5">
        <v>270</v>
      </c>
    </row>
    <row r="6065" s="2" customFormat="1" spans="1:10">
      <c r="A6065" s="6">
        <f>6063</f>
        <v>6063</v>
      </c>
      <c r="B6065" s="6" t="s">
        <v>15635</v>
      </c>
      <c r="C6065" s="6" t="s">
        <v>12</v>
      </c>
      <c r="D6065" s="6" t="s">
        <v>14573</v>
      </c>
      <c r="E6065" s="6" t="s">
        <v>15457</v>
      </c>
      <c r="F6065" s="6" t="s">
        <v>15636</v>
      </c>
      <c r="G6065" s="6" t="s">
        <v>16</v>
      </c>
      <c r="H6065" s="5">
        <v>1</v>
      </c>
      <c r="I6065" s="6" t="s">
        <v>15636</v>
      </c>
      <c r="J6065" s="5">
        <v>385</v>
      </c>
    </row>
    <row r="6066" s="2" customFormat="1" spans="1:10">
      <c r="A6066" s="6">
        <f>6064</f>
        <v>6064</v>
      </c>
      <c r="B6066" s="6" t="s">
        <v>15637</v>
      </c>
      <c r="C6066" s="6" t="s">
        <v>12</v>
      </c>
      <c r="D6066" s="6" t="s">
        <v>14573</v>
      </c>
      <c r="E6066" s="6" t="s">
        <v>15457</v>
      </c>
      <c r="F6066" s="6" t="s">
        <v>15638</v>
      </c>
      <c r="G6066" s="6" t="s">
        <v>16</v>
      </c>
      <c r="H6066" s="5">
        <v>1</v>
      </c>
      <c r="I6066" s="6" t="s">
        <v>15638</v>
      </c>
      <c r="J6066" s="5">
        <v>510</v>
      </c>
    </row>
    <row r="6067" s="2" customFormat="1" spans="1:10">
      <c r="A6067" s="6">
        <f>6065</f>
        <v>6065</v>
      </c>
      <c r="B6067" s="6" t="s">
        <v>15639</v>
      </c>
      <c r="C6067" s="6" t="s">
        <v>12</v>
      </c>
      <c r="D6067" s="6" t="s">
        <v>14573</v>
      </c>
      <c r="E6067" s="6" t="s">
        <v>15457</v>
      </c>
      <c r="F6067" s="6" t="s">
        <v>15640</v>
      </c>
      <c r="G6067" s="6" t="s">
        <v>16</v>
      </c>
      <c r="H6067" s="5">
        <v>1</v>
      </c>
      <c r="I6067" s="6" t="s">
        <v>15640</v>
      </c>
      <c r="J6067" s="5">
        <v>265</v>
      </c>
    </row>
    <row r="6068" s="2" customFormat="1" spans="1:10">
      <c r="A6068" s="6">
        <f>6066</f>
        <v>6066</v>
      </c>
      <c r="B6068" s="6" t="s">
        <v>15641</v>
      </c>
      <c r="C6068" s="6" t="s">
        <v>12</v>
      </c>
      <c r="D6068" s="6" t="s">
        <v>14573</v>
      </c>
      <c r="E6068" s="6" t="s">
        <v>15457</v>
      </c>
      <c r="F6068" s="6" t="s">
        <v>15642</v>
      </c>
      <c r="G6068" s="6" t="s">
        <v>16</v>
      </c>
      <c r="H6068" s="5">
        <v>1</v>
      </c>
      <c r="I6068" s="6" t="s">
        <v>15642</v>
      </c>
      <c r="J6068" s="5">
        <v>265</v>
      </c>
    </row>
    <row r="6069" s="2" customFormat="1" ht="27" spans="1:10">
      <c r="A6069" s="6">
        <f>6067</f>
        <v>6067</v>
      </c>
      <c r="B6069" s="6" t="s">
        <v>15643</v>
      </c>
      <c r="C6069" s="6" t="s">
        <v>12</v>
      </c>
      <c r="D6069" s="6" t="s">
        <v>14573</v>
      </c>
      <c r="E6069" s="6" t="s">
        <v>15457</v>
      </c>
      <c r="F6069" s="6" t="s">
        <v>15644</v>
      </c>
      <c r="G6069" s="6" t="s">
        <v>16</v>
      </c>
      <c r="H6069" s="5">
        <v>4</v>
      </c>
      <c r="I6069" s="6" t="s">
        <v>15645</v>
      </c>
      <c r="J6069" s="5">
        <v>980</v>
      </c>
    </row>
    <row r="6070" s="2" customFormat="1" spans="1:10">
      <c r="A6070" s="6">
        <f>6068</f>
        <v>6068</v>
      </c>
      <c r="B6070" s="6" t="s">
        <v>15646</v>
      </c>
      <c r="C6070" s="6" t="s">
        <v>12</v>
      </c>
      <c r="D6070" s="6" t="s">
        <v>14573</v>
      </c>
      <c r="E6070" s="6" t="s">
        <v>15457</v>
      </c>
      <c r="F6070" s="6" t="s">
        <v>15647</v>
      </c>
      <c r="G6070" s="6" t="s">
        <v>16</v>
      </c>
      <c r="H6070" s="5">
        <v>1</v>
      </c>
      <c r="I6070" s="6" t="s">
        <v>15647</v>
      </c>
      <c r="J6070" s="5">
        <v>220</v>
      </c>
    </row>
    <row r="6071" s="2" customFormat="1" spans="1:10">
      <c r="A6071" s="6">
        <f>6069</f>
        <v>6069</v>
      </c>
      <c r="B6071" s="6" t="s">
        <v>15648</v>
      </c>
      <c r="C6071" s="6" t="s">
        <v>12</v>
      </c>
      <c r="D6071" s="6" t="s">
        <v>14573</v>
      </c>
      <c r="E6071" s="6" t="s">
        <v>15457</v>
      </c>
      <c r="F6071" s="6" t="s">
        <v>15649</v>
      </c>
      <c r="G6071" s="6" t="s">
        <v>16</v>
      </c>
      <c r="H6071" s="5">
        <v>2</v>
      </c>
      <c r="I6071" s="6" t="s">
        <v>15650</v>
      </c>
      <c r="J6071" s="5">
        <v>456</v>
      </c>
    </row>
    <row r="6072" s="2" customFormat="1" spans="1:10">
      <c r="A6072" s="6">
        <f>6070</f>
        <v>6070</v>
      </c>
      <c r="B6072" s="6" t="s">
        <v>15651</v>
      </c>
      <c r="C6072" s="6" t="s">
        <v>12</v>
      </c>
      <c r="D6072" s="6" t="s">
        <v>14573</v>
      </c>
      <c r="E6072" s="6" t="s">
        <v>15457</v>
      </c>
      <c r="F6072" s="6" t="s">
        <v>15652</v>
      </c>
      <c r="G6072" s="6" t="s">
        <v>16</v>
      </c>
      <c r="H6072" s="5">
        <v>2</v>
      </c>
      <c r="I6072" s="6" t="s">
        <v>15653</v>
      </c>
      <c r="J6072" s="5">
        <v>558</v>
      </c>
    </row>
    <row r="6073" s="2" customFormat="1" spans="1:10">
      <c r="A6073" s="6">
        <f>6071</f>
        <v>6071</v>
      </c>
      <c r="B6073" s="6" t="s">
        <v>15654</v>
      </c>
      <c r="C6073" s="6" t="s">
        <v>12</v>
      </c>
      <c r="D6073" s="6" t="s">
        <v>14573</v>
      </c>
      <c r="E6073" s="6" t="s">
        <v>15457</v>
      </c>
      <c r="F6073" s="6" t="s">
        <v>15655</v>
      </c>
      <c r="G6073" s="6" t="s">
        <v>16</v>
      </c>
      <c r="H6073" s="5">
        <v>2</v>
      </c>
      <c r="I6073" s="6" t="s">
        <v>15656</v>
      </c>
      <c r="J6073" s="5">
        <v>240</v>
      </c>
    </row>
    <row r="6074" s="2" customFormat="1" spans="1:10">
      <c r="A6074" s="6">
        <f>6072</f>
        <v>6072</v>
      </c>
      <c r="B6074" s="6" t="s">
        <v>15657</v>
      </c>
      <c r="C6074" s="6" t="s">
        <v>12</v>
      </c>
      <c r="D6074" s="6" t="s">
        <v>14573</v>
      </c>
      <c r="E6074" s="6" t="s">
        <v>15457</v>
      </c>
      <c r="F6074" s="6" t="s">
        <v>15658</v>
      </c>
      <c r="G6074" s="6" t="s">
        <v>16</v>
      </c>
      <c r="H6074" s="5">
        <v>2</v>
      </c>
      <c r="I6074" s="6" t="s">
        <v>15659</v>
      </c>
      <c r="J6074" s="5">
        <v>570</v>
      </c>
    </row>
    <row r="6075" s="2" customFormat="1" spans="1:10">
      <c r="A6075" s="6">
        <f>6073</f>
        <v>6073</v>
      </c>
      <c r="B6075" s="6" t="s">
        <v>15660</v>
      </c>
      <c r="C6075" s="6" t="s">
        <v>12</v>
      </c>
      <c r="D6075" s="6" t="s">
        <v>14573</v>
      </c>
      <c r="E6075" s="6" t="s">
        <v>15457</v>
      </c>
      <c r="F6075" s="6" t="s">
        <v>15661</v>
      </c>
      <c r="G6075" s="6" t="s">
        <v>16</v>
      </c>
      <c r="H6075" s="5">
        <v>1</v>
      </c>
      <c r="I6075" s="6" t="s">
        <v>15661</v>
      </c>
      <c r="J6075" s="5">
        <v>245</v>
      </c>
    </row>
    <row r="6076" s="2" customFormat="1" spans="1:10">
      <c r="A6076" s="6">
        <f>6074</f>
        <v>6074</v>
      </c>
      <c r="B6076" s="6" t="s">
        <v>15662</v>
      </c>
      <c r="C6076" s="6" t="s">
        <v>12</v>
      </c>
      <c r="D6076" s="6" t="s">
        <v>14573</v>
      </c>
      <c r="E6076" s="6" t="s">
        <v>15457</v>
      </c>
      <c r="F6076" s="6" t="s">
        <v>15663</v>
      </c>
      <c r="G6076" s="6" t="s">
        <v>16</v>
      </c>
      <c r="H6076" s="5">
        <v>1</v>
      </c>
      <c r="I6076" s="6" t="s">
        <v>15663</v>
      </c>
      <c r="J6076" s="5">
        <v>370</v>
      </c>
    </row>
    <row r="6077" s="2" customFormat="1" spans="1:10">
      <c r="A6077" s="6">
        <f>6075</f>
        <v>6075</v>
      </c>
      <c r="B6077" s="6" t="s">
        <v>15664</v>
      </c>
      <c r="C6077" s="6" t="s">
        <v>12</v>
      </c>
      <c r="D6077" s="6" t="s">
        <v>14573</v>
      </c>
      <c r="E6077" s="6" t="s">
        <v>15457</v>
      </c>
      <c r="F6077" s="6" t="s">
        <v>15665</v>
      </c>
      <c r="G6077" s="6" t="s">
        <v>16</v>
      </c>
      <c r="H6077" s="5">
        <v>1</v>
      </c>
      <c r="I6077" s="6" t="s">
        <v>15665</v>
      </c>
      <c r="J6077" s="5">
        <v>540</v>
      </c>
    </row>
    <row r="6078" s="2" customFormat="1" spans="1:10">
      <c r="A6078" s="6">
        <f>6076</f>
        <v>6076</v>
      </c>
      <c r="B6078" s="6" t="s">
        <v>15666</v>
      </c>
      <c r="C6078" s="6" t="s">
        <v>12</v>
      </c>
      <c r="D6078" s="6" t="s">
        <v>14573</v>
      </c>
      <c r="E6078" s="6" t="s">
        <v>15457</v>
      </c>
      <c r="F6078" s="6" t="s">
        <v>15667</v>
      </c>
      <c r="G6078" s="6" t="s">
        <v>16</v>
      </c>
      <c r="H6078" s="5">
        <v>2</v>
      </c>
      <c r="I6078" s="6" t="s">
        <v>15668</v>
      </c>
      <c r="J6078" s="5">
        <v>640</v>
      </c>
    </row>
    <row r="6079" s="2" customFormat="1" ht="27" spans="1:10">
      <c r="A6079" s="6">
        <f>6077</f>
        <v>6077</v>
      </c>
      <c r="B6079" s="6" t="s">
        <v>15669</v>
      </c>
      <c r="C6079" s="6" t="s">
        <v>12</v>
      </c>
      <c r="D6079" s="6" t="s">
        <v>14573</v>
      </c>
      <c r="E6079" s="6" t="s">
        <v>15457</v>
      </c>
      <c r="F6079" s="6" t="s">
        <v>15670</v>
      </c>
      <c r="G6079" s="6" t="s">
        <v>16</v>
      </c>
      <c r="H6079" s="5">
        <v>5</v>
      </c>
      <c r="I6079" s="6" t="s">
        <v>15671</v>
      </c>
      <c r="J6079" s="5">
        <v>505</v>
      </c>
    </row>
    <row r="6080" s="2" customFormat="1" spans="1:10">
      <c r="A6080" s="6">
        <f>6078</f>
        <v>6078</v>
      </c>
      <c r="B6080" s="6" t="s">
        <v>15672</v>
      </c>
      <c r="C6080" s="6" t="s">
        <v>12</v>
      </c>
      <c r="D6080" s="6" t="s">
        <v>14573</v>
      </c>
      <c r="E6080" s="6" t="s">
        <v>15457</v>
      </c>
      <c r="F6080" s="6" t="s">
        <v>15673</v>
      </c>
      <c r="G6080" s="6" t="s">
        <v>16</v>
      </c>
      <c r="H6080" s="5">
        <v>1</v>
      </c>
      <c r="I6080" s="6" t="s">
        <v>15673</v>
      </c>
      <c r="J6080" s="5">
        <v>573</v>
      </c>
    </row>
    <row r="6081" s="2" customFormat="1" ht="27" spans="1:10">
      <c r="A6081" s="6">
        <f>6079</f>
        <v>6079</v>
      </c>
      <c r="B6081" s="6" t="s">
        <v>15674</v>
      </c>
      <c r="C6081" s="6" t="s">
        <v>12</v>
      </c>
      <c r="D6081" s="6" t="s">
        <v>14573</v>
      </c>
      <c r="E6081" s="6" t="s">
        <v>15457</v>
      </c>
      <c r="F6081" s="6" t="s">
        <v>15675</v>
      </c>
      <c r="G6081" s="6" t="s">
        <v>16</v>
      </c>
      <c r="H6081" s="5">
        <v>6</v>
      </c>
      <c r="I6081" s="6" t="s">
        <v>15676</v>
      </c>
      <c r="J6081" s="5">
        <v>1120</v>
      </c>
    </row>
    <row r="6082" s="2" customFormat="1" spans="1:10">
      <c r="A6082" s="6">
        <f>6080</f>
        <v>6080</v>
      </c>
      <c r="B6082" s="6" t="s">
        <v>15677</v>
      </c>
      <c r="C6082" s="6" t="s">
        <v>12</v>
      </c>
      <c r="D6082" s="6" t="s">
        <v>14573</v>
      </c>
      <c r="E6082" s="6" t="s">
        <v>15457</v>
      </c>
      <c r="F6082" s="6" t="s">
        <v>15678</v>
      </c>
      <c r="G6082" s="6" t="s">
        <v>16</v>
      </c>
      <c r="H6082" s="5">
        <v>3</v>
      </c>
      <c r="I6082" s="6" t="s">
        <v>15679</v>
      </c>
      <c r="J6082" s="5">
        <v>720</v>
      </c>
    </row>
    <row r="6083" s="2" customFormat="1" spans="1:10">
      <c r="A6083" s="6">
        <f>6081</f>
        <v>6081</v>
      </c>
      <c r="B6083" s="6" t="s">
        <v>15680</v>
      </c>
      <c r="C6083" s="6" t="s">
        <v>12</v>
      </c>
      <c r="D6083" s="6" t="s">
        <v>14573</v>
      </c>
      <c r="E6083" s="6" t="s">
        <v>15457</v>
      </c>
      <c r="F6083" s="6" t="s">
        <v>15681</v>
      </c>
      <c r="G6083" s="6" t="s">
        <v>16</v>
      </c>
      <c r="H6083" s="5">
        <v>2</v>
      </c>
      <c r="I6083" s="6" t="s">
        <v>15682</v>
      </c>
      <c r="J6083" s="5">
        <v>920</v>
      </c>
    </row>
    <row r="6084" s="2" customFormat="1" spans="1:10">
      <c r="A6084" s="6">
        <f>6082</f>
        <v>6082</v>
      </c>
      <c r="B6084" s="6" t="s">
        <v>15683</v>
      </c>
      <c r="C6084" s="6" t="s">
        <v>12</v>
      </c>
      <c r="D6084" s="6" t="s">
        <v>14573</v>
      </c>
      <c r="E6084" s="6" t="s">
        <v>15457</v>
      </c>
      <c r="F6084" s="6" t="s">
        <v>14142</v>
      </c>
      <c r="G6084" s="6" t="s">
        <v>16</v>
      </c>
      <c r="H6084" s="5">
        <v>3</v>
      </c>
      <c r="I6084" s="6" t="s">
        <v>15684</v>
      </c>
      <c r="J6084" s="5">
        <v>840</v>
      </c>
    </row>
    <row r="6085" s="2" customFormat="1" spans="1:10">
      <c r="A6085" s="6">
        <f>6083</f>
        <v>6083</v>
      </c>
      <c r="B6085" s="6" t="s">
        <v>15685</v>
      </c>
      <c r="C6085" s="6" t="s">
        <v>12</v>
      </c>
      <c r="D6085" s="6" t="s">
        <v>14573</v>
      </c>
      <c r="E6085" s="6" t="s">
        <v>15457</v>
      </c>
      <c r="F6085" s="6" t="s">
        <v>15686</v>
      </c>
      <c r="G6085" s="6" t="s">
        <v>16</v>
      </c>
      <c r="H6085" s="5">
        <v>1</v>
      </c>
      <c r="I6085" s="6" t="s">
        <v>15686</v>
      </c>
      <c r="J6085" s="5">
        <v>265</v>
      </c>
    </row>
    <row r="6086" s="2" customFormat="1" spans="1:10">
      <c r="A6086" s="6">
        <f>6084</f>
        <v>6084</v>
      </c>
      <c r="B6086" s="6" t="s">
        <v>15687</v>
      </c>
      <c r="C6086" s="6" t="s">
        <v>12</v>
      </c>
      <c r="D6086" s="6" t="s">
        <v>14573</v>
      </c>
      <c r="E6086" s="6" t="s">
        <v>15457</v>
      </c>
      <c r="F6086" s="6" t="s">
        <v>15688</v>
      </c>
      <c r="G6086" s="6" t="s">
        <v>16</v>
      </c>
      <c r="H6086" s="5">
        <v>1</v>
      </c>
      <c r="I6086" s="6" t="s">
        <v>15688</v>
      </c>
      <c r="J6086" s="5">
        <v>270</v>
      </c>
    </row>
    <row r="6087" s="2" customFormat="1" spans="1:10">
      <c r="A6087" s="6">
        <f>6085</f>
        <v>6085</v>
      </c>
      <c r="B6087" s="6" t="s">
        <v>15689</v>
      </c>
      <c r="C6087" s="6" t="s">
        <v>12</v>
      </c>
      <c r="D6087" s="6" t="s">
        <v>14573</v>
      </c>
      <c r="E6087" s="6" t="s">
        <v>15457</v>
      </c>
      <c r="F6087" s="6" t="s">
        <v>2097</v>
      </c>
      <c r="G6087" s="6" t="s">
        <v>16</v>
      </c>
      <c r="H6087" s="5">
        <v>1</v>
      </c>
      <c r="I6087" s="6" t="s">
        <v>2097</v>
      </c>
      <c r="J6087" s="5">
        <v>362</v>
      </c>
    </row>
    <row r="6088" s="2" customFormat="1" spans="1:10">
      <c r="A6088" s="6">
        <f>6086</f>
        <v>6086</v>
      </c>
      <c r="B6088" s="6" t="s">
        <v>15690</v>
      </c>
      <c r="C6088" s="6" t="s">
        <v>12</v>
      </c>
      <c r="D6088" s="6" t="s">
        <v>14573</v>
      </c>
      <c r="E6088" s="6" t="s">
        <v>15457</v>
      </c>
      <c r="F6088" s="6" t="s">
        <v>15691</v>
      </c>
      <c r="G6088" s="6" t="s">
        <v>16</v>
      </c>
      <c r="H6088" s="5">
        <v>1</v>
      </c>
      <c r="I6088" s="6" t="s">
        <v>15691</v>
      </c>
      <c r="J6088" s="5">
        <v>370</v>
      </c>
    </row>
    <row r="6089" s="2" customFormat="1" spans="1:10">
      <c r="A6089" s="6">
        <f>6087</f>
        <v>6087</v>
      </c>
      <c r="B6089" s="6" t="s">
        <v>15692</v>
      </c>
      <c r="C6089" s="6" t="s">
        <v>12</v>
      </c>
      <c r="D6089" s="6" t="s">
        <v>14573</v>
      </c>
      <c r="E6089" s="6" t="s">
        <v>15457</v>
      </c>
      <c r="F6089" s="6" t="s">
        <v>15693</v>
      </c>
      <c r="G6089" s="6" t="s">
        <v>16</v>
      </c>
      <c r="H6089" s="5">
        <v>1</v>
      </c>
      <c r="I6089" s="6" t="s">
        <v>15693</v>
      </c>
      <c r="J6089" s="5">
        <v>265</v>
      </c>
    </row>
    <row r="6090" s="2" customFormat="1" spans="1:10">
      <c r="A6090" s="6">
        <f>6088</f>
        <v>6088</v>
      </c>
      <c r="B6090" s="6" t="s">
        <v>15694</v>
      </c>
      <c r="C6090" s="6" t="s">
        <v>12</v>
      </c>
      <c r="D6090" s="6" t="s">
        <v>14573</v>
      </c>
      <c r="E6090" s="6" t="s">
        <v>15457</v>
      </c>
      <c r="F6090" s="6" t="s">
        <v>15695</v>
      </c>
      <c r="G6090" s="6" t="s">
        <v>16</v>
      </c>
      <c r="H6090" s="5">
        <v>2</v>
      </c>
      <c r="I6090" s="6" t="s">
        <v>15696</v>
      </c>
      <c r="J6090" s="5">
        <v>990</v>
      </c>
    </row>
    <row r="6091" s="2" customFormat="1" spans="1:10">
      <c r="A6091" s="6">
        <f>6089</f>
        <v>6089</v>
      </c>
      <c r="B6091" s="6" t="s">
        <v>15697</v>
      </c>
      <c r="C6091" s="6" t="s">
        <v>12</v>
      </c>
      <c r="D6091" s="6" t="s">
        <v>14573</v>
      </c>
      <c r="E6091" s="6" t="s">
        <v>15457</v>
      </c>
      <c r="F6091" s="6" t="s">
        <v>15698</v>
      </c>
      <c r="G6091" s="6" t="s">
        <v>16</v>
      </c>
      <c r="H6091" s="5">
        <v>2</v>
      </c>
      <c r="I6091" s="6" t="s">
        <v>15699</v>
      </c>
      <c r="J6091" s="5">
        <v>1040</v>
      </c>
    </row>
    <row r="6092" s="2" customFormat="1" spans="1:10">
      <c r="A6092" s="6">
        <f>6090</f>
        <v>6090</v>
      </c>
      <c r="B6092" s="6" t="s">
        <v>15700</v>
      </c>
      <c r="C6092" s="6" t="s">
        <v>12</v>
      </c>
      <c r="D6092" s="6" t="s">
        <v>14573</v>
      </c>
      <c r="E6092" s="6" t="s">
        <v>15457</v>
      </c>
      <c r="F6092" s="6" t="s">
        <v>15701</v>
      </c>
      <c r="G6092" s="6" t="s">
        <v>16</v>
      </c>
      <c r="H6092" s="5">
        <v>2</v>
      </c>
      <c r="I6092" s="6" t="s">
        <v>15702</v>
      </c>
      <c r="J6092" s="5">
        <v>650</v>
      </c>
    </row>
    <row r="6093" s="2" customFormat="1" spans="1:10">
      <c r="A6093" s="6">
        <f>6091</f>
        <v>6091</v>
      </c>
      <c r="B6093" s="6" t="s">
        <v>15703</v>
      </c>
      <c r="C6093" s="6" t="s">
        <v>12</v>
      </c>
      <c r="D6093" s="6" t="s">
        <v>14573</v>
      </c>
      <c r="E6093" s="6" t="s">
        <v>15457</v>
      </c>
      <c r="F6093" s="6" t="s">
        <v>15704</v>
      </c>
      <c r="G6093" s="6" t="s">
        <v>16</v>
      </c>
      <c r="H6093" s="5">
        <v>2</v>
      </c>
      <c r="I6093" s="6" t="s">
        <v>15705</v>
      </c>
      <c r="J6093" s="5">
        <v>640</v>
      </c>
    </row>
    <row r="6094" s="2" customFormat="1" spans="1:10">
      <c r="A6094" s="6">
        <f>6092</f>
        <v>6092</v>
      </c>
      <c r="B6094" s="6" t="s">
        <v>15706</v>
      </c>
      <c r="C6094" s="6" t="s">
        <v>12</v>
      </c>
      <c r="D6094" s="6" t="s">
        <v>14573</v>
      </c>
      <c r="E6094" s="6" t="s">
        <v>15457</v>
      </c>
      <c r="F6094" s="6" t="s">
        <v>15707</v>
      </c>
      <c r="G6094" s="6" t="s">
        <v>16</v>
      </c>
      <c r="H6094" s="5">
        <v>1</v>
      </c>
      <c r="I6094" s="6" t="s">
        <v>15707</v>
      </c>
      <c r="J6094" s="5">
        <v>328</v>
      </c>
    </row>
    <row r="6095" s="2" customFormat="1" spans="1:10">
      <c r="A6095" s="6">
        <f>6093</f>
        <v>6093</v>
      </c>
      <c r="B6095" s="6" t="s">
        <v>15708</v>
      </c>
      <c r="C6095" s="6" t="s">
        <v>12</v>
      </c>
      <c r="D6095" s="6" t="s">
        <v>14573</v>
      </c>
      <c r="E6095" s="6" t="s">
        <v>15457</v>
      </c>
      <c r="F6095" s="6" t="s">
        <v>15709</v>
      </c>
      <c r="G6095" s="6" t="s">
        <v>16</v>
      </c>
      <c r="H6095" s="5">
        <v>1</v>
      </c>
      <c r="I6095" s="6" t="s">
        <v>15709</v>
      </c>
      <c r="J6095" s="5">
        <v>270</v>
      </c>
    </row>
    <row r="6096" s="2" customFormat="1" spans="1:10">
      <c r="A6096" s="6">
        <f>6094</f>
        <v>6094</v>
      </c>
      <c r="B6096" s="6" t="s">
        <v>15710</v>
      </c>
      <c r="C6096" s="6" t="s">
        <v>12</v>
      </c>
      <c r="D6096" s="6" t="s">
        <v>14573</v>
      </c>
      <c r="E6096" s="6" t="s">
        <v>15457</v>
      </c>
      <c r="F6096" s="6" t="s">
        <v>15711</v>
      </c>
      <c r="G6096" s="6" t="s">
        <v>16</v>
      </c>
      <c r="H6096" s="5">
        <v>1</v>
      </c>
      <c r="I6096" s="6" t="s">
        <v>15711</v>
      </c>
      <c r="J6096" s="5">
        <v>245</v>
      </c>
    </row>
    <row r="6097" s="2" customFormat="1" spans="1:10">
      <c r="A6097" s="6">
        <f>6095</f>
        <v>6095</v>
      </c>
      <c r="B6097" s="6" t="s">
        <v>15712</v>
      </c>
      <c r="C6097" s="6" t="s">
        <v>12</v>
      </c>
      <c r="D6097" s="6" t="s">
        <v>14573</v>
      </c>
      <c r="E6097" s="6" t="s">
        <v>15457</v>
      </c>
      <c r="F6097" s="6" t="s">
        <v>15713</v>
      </c>
      <c r="G6097" s="6" t="s">
        <v>16</v>
      </c>
      <c r="H6097" s="5">
        <v>1</v>
      </c>
      <c r="I6097" s="6" t="s">
        <v>15713</v>
      </c>
      <c r="J6097" s="5">
        <v>305</v>
      </c>
    </row>
    <row r="6098" s="2" customFormat="1" ht="27" spans="1:10">
      <c r="A6098" s="6">
        <f>6096</f>
        <v>6096</v>
      </c>
      <c r="B6098" s="6" t="s">
        <v>15714</v>
      </c>
      <c r="C6098" s="6" t="s">
        <v>12</v>
      </c>
      <c r="D6098" s="6" t="s">
        <v>14573</v>
      </c>
      <c r="E6098" s="6" t="s">
        <v>15457</v>
      </c>
      <c r="F6098" s="6" t="s">
        <v>15715</v>
      </c>
      <c r="G6098" s="6" t="s">
        <v>16</v>
      </c>
      <c r="H6098" s="5">
        <v>4</v>
      </c>
      <c r="I6098" s="6" t="s">
        <v>15716</v>
      </c>
      <c r="J6098" s="5">
        <v>1222</v>
      </c>
    </row>
    <row r="6099" s="2" customFormat="1" ht="27" spans="1:10">
      <c r="A6099" s="6">
        <f>6097</f>
        <v>6097</v>
      </c>
      <c r="B6099" s="6" t="s">
        <v>15717</v>
      </c>
      <c r="C6099" s="6" t="s">
        <v>12</v>
      </c>
      <c r="D6099" s="6" t="s">
        <v>14573</v>
      </c>
      <c r="E6099" s="6" t="s">
        <v>15457</v>
      </c>
      <c r="F6099" s="6" t="s">
        <v>15718</v>
      </c>
      <c r="G6099" s="6" t="s">
        <v>16</v>
      </c>
      <c r="H6099" s="5">
        <v>4</v>
      </c>
      <c r="I6099" s="6" t="s">
        <v>15719</v>
      </c>
      <c r="J6099" s="5">
        <v>1045</v>
      </c>
    </row>
    <row r="6100" s="2" customFormat="1" ht="27" spans="1:10">
      <c r="A6100" s="6">
        <f>6098</f>
        <v>6098</v>
      </c>
      <c r="B6100" s="6" t="s">
        <v>15720</v>
      </c>
      <c r="C6100" s="6" t="s">
        <v>12</v>
      </c>
      <c r="D6100" s="6" t="s">
        <v>14573</v>
      </c>
      <c r="E6100" s="6" t="s">
        <v>15457</v>
      </c>
      <c r="F6100" s="6" t="s">
        <v>15721</v>
      </c>
      <c r="G6100" s="6" t="s">
        <v>16</v>
      </c>
      <c r="H6100" s="5">
        <v>4</v>
      </c>
      <c r="I6100" s="6" t="s">
        <v>15722</v>
      </c>
      <c r="J6100" s="5">
        <v>306</v>
      </c>
    </row>
    <row r="6101" s="2" customFormat="1" spans="1:10">
      <c r="A6101" s="6">
        <f>6099</f>
        <v>6099</v>
      </c>
      <c r="B6101" s="6" t="s">
        <v>15723</v>
      </c>
      <c r="C6101" s="6" t="s">
        <v>12</v>
      </c>
      <c r="D6101" s="6" t="s">
        <v>14573</v>
      </c>
      <c r="E6101" s="6" t="s">
        <v>15457</v>
      </c>
      <c r="F6101" s="6" t="s">
        <v>15724</v>
      </c>
      <c r="G6101" s="6" t="s">
        <v>16</v>
      </c>
      <c r="H6101" s="5">
        <v>2</v>
      </c>
      <c r="I6101" s="6" t="s">
        <v>15725</v>
      </c>
      <c r="J6101" s="5">
        <v>600</v>
      </c>
    </row>
    <row r="6102" s="2" customFormat="1" spans="1:10">
      <c r="A6102" s="6">
        <f>6100</f>
        <v>6100</v>
      </c>
      <c r="B6102" s="6" t="s">
        <v>15726</v>
      </c>
      <c r="C6102" s="6" t="s">
        <v>12</v>
      </c>
      <c r="D6102" s="6" t="s">
        <v>14573</v>
      </c>
      <c r="E6102" s="6" t="s">
        <v>15457</v>
      </c>
      <c r="F6102" s="6" t="s">
        <v>15727</v>
      </c>
      <c r="G6102" s="6" t="s">
        <v>16</v>
      </c>
      <c r="H6102" s="5">
        <v>1</v>
      </c>
      <c r="I6102" s="6" t="s">
        <v>15727</v>
      </c>
      <c r="J6102" s="5">
        <v>270</v>
      </c>
    </row>
    <row r="6103" s="2" customFormat="1" spans="1:10">
      <c r="A6103" s="6">
        <f>6101</f>
        <v>6101</v>
      </c>
      <c r="B6103" s="6" t="s">
        <v>15728</v>
      </c>
      <c r="C6103" s="6" t="s">
        <v>12</v>
      </c>
      <c r="D6103" s="6" t="s">
        <v>14573</v>
      </c>
      <c r="E6103" s="6" t="s">
        <v>15457</v>
      </c>
      <c r="F6103" s="6" t="s">
        <v>15729</v>
      </c>
      <c r="G6103" s="6" t="s">
        <v>16</v>
      </c>
      <c r="H6103" s="5">
        <v>1</v>
      </c>
      <c r="I6103" s="6" t="s">
        <v>15729</v>
      </c>
      <c r="J6103" s="5">
        <v>265</v>
      </c>
    </row>
    <row r="6104" s="2" customFormat="1" spans="1:10">
      <c r="A6104" s="6">
        <f>6102</f>
        <v>6102</v>
      </c>
      <c r="B6104" s="6" t="s">
        <v>15730</v>
      </c>
      <c r="C6104" s="6" t="s">
        <v>12</v>
      </c>
      <c r="D6104" s="6" t="s">
        <v>14573</v>
      </c>
      <c r="E6104" s="6" t="s">
        <v>15457</v>
      </c>
      <c r="F6104" s="6" t="s">
        <v>15731</v>
      </c>
      <c r="G6104" s="6" t="s">
        <v>16</v>
      </c>
      <c r="H6104" s="5">
        <v>2</v>
      </c>
      <c r="I6104" s="6" t="s">
        <v>15732</v>
      </c>
      <c r="J6104" s="5">
        <v>990</v>
      </c>
    </row>
    <row r="6105" s="2" customFormat="1" spans="1:10">
      <c r="A6105" s="6">
        <f>6103</f>
        <v>6103</v>
      </c>
      <c r="B6105" s="6" t="s">
        <v>15733</v>
      </c>
      <c r="C6105" s="6" t="s">
        <v>12</v>
      </c>
      <c r="D6105" s="6" t="s">
        <v>14573</v>
      </c>
      <c r="E6105" s="6" t="s">
        <v>15457</v>
      </c>
      <c r="F6105" s="6" t="s">
        <v>15734</v>
      </c>
      <c r="G6105" s="6" t="s">
        <v>16</v>
      </c>
      <c r="H6105" s="5">
        <v>3</v>
      </c>
      <c r="I6105" s="6" t="s">
        <v>15735</v>
      </c>
      <c r="J6105" s="5">
        <v>530</v>
      </c>
    </row>
    <row r="6106" s="2" customFormat="1" ht="27" spans="1:10">
      <c r="A6106" s="6">
        <f>6104</f>
        <v>6104</v>
      </c>
      <c r="B6106" s="6" t="s">
        <v>15736</v>
      </c>
      <c r="C6106" s="6" t="s">
        <v>12</v>
      </c>
      <c r="D6106" s="6" t="s">
        <v>14573</v>
      </c>
      <c r="E6106" s="6" t="s">
        <v>15457</v>
      </c>
      <c r="F6106" s="6" t="s">
        <v>15737</v>
      </c>
      <c r="G6106" s="6" t="s">
        <v>16</v>
      </c>
      <c r="H6106" s="5">
        <v>6</v>
      </c>
      <c r="I6106" s="6" t="s">
        <v>15738</v>
      </c>
      <c r="J6106" s="5">
        <v>590</v>
      </c>
    </row>
    <row r="6107" s="2" customFormat="1" spans="1:10">
      <c r="A6107" s="6">
        <f>6105</f>
        <v>6105</v>
      </c>
      <c r="B6107" s="6" t="s">
        <v>15739</v>
      </c>
      <c r="C6107" s="6" t="s">
        <v>12</v>
      </c>
      <c r="D6107" s="6" t="s">
        <v>14573</v>
      </c>
      <c r="E6107" s="6" t="s">
        <v>15457</v>
      </c>
      <c r="F6107" s="6" t="s">
        <v>15740</v>
      </c>
      <c r="G6107" s="6" t="s">
        <v>16</v>
      </c>
      <c r="H6107" s="5">
        <v>1</v>
      </c>
      <c r="I6107" s="6" t="s">
        <v>15740</v>
      </c>
      <c r="J6107" s="5">
        <v>285</v>
      </c>
    </row>
    <row r="6108" s="2" customFormat="1" ht="27" spans="1:10">
      <c r="A6108" s="6">
        <f>6106</f>
        <v>6106</v>
      </c>
      <c r="B6108" s="6" t="s">
        <v>15741</v>
      </c>
      <c r="C6108" s="6" t="s">
        <v>12</v>
      </c>
      <c r="D6108" s="6" t="s">
        <v>14573</v>
      </c>
      <c r="E6108" s="6" t="s">
        <v>15457</v>
      </c>
      <c r="F6108" s="6" t="s">
        <v>15742</v>
      </c>
      <c r="G6108" s="6" t="s">
        <v>16</v>
      </c>
      <c r="H6108" s="5">
        <v>5</v>
      </c>
      <c r="I6108" s="6" t="s">
        <v>15743</v>
      </c>
      <c r="J6108" s="5">
        <v>840</v>
      </c>
    </row>
    <row r="6109" s="2" customFormat="1" spans="1:10">
      <c r="A6109" s="6">
        <f>6107</f>
        <v>6107</v>
      </c>
      <c r="B6109" s="6" t="s">
        <v>15744</v>
      </c>
      <c r="C6109" s="6" t="s">
        <v>12</v>
      </c>
      <c r="D6109" s="6" t="s">
        <v>14573</v>
      </c>
      <c r="E6109" s="6" t="s">
        <v>15457</v>
      </c>
      <c r="F6109" s="6" t="s">
        <v>15745</v>
      </c>
      <c r="G6109" s="6" t="s">
        <v>16</v>
      </c>
      <c r="H6109" s="5">
        <v>2</v>
      </c>
      <c r="I6109" s="6" t="s">
        <v>15746</v>
      </c>
      <c r="J6109" s="5">
        <v>550</v>
      </c>
    </row>
    <row r="6110" s="2" customFormat="1" spans="1:10">
      <c r="A6110" s="6">
        <f>6108</f>
        <v>6108</v>
      </c>
      <c r="B6110" s="6" t="s">
        <v>15747</v>
      </c>
      <c r="C6110" s="6" t="s">
        <v>12</v>
      </c>
      <c r="D6110" s="6" t="s">
        <v>14573</v>
      </c>
      <c r="E6110" s="6" t="s">
        <v>15457</v>
      </c>
      <c r="F6110" s="6" t="s">
        <v>15748</v>
      </c>
      <c r="G6110" s="6" t="s">
        <v>16</v>
      </c>
      <c r="H6110" s="5">
        <v>1</v>
      </c>
      <c r="I6110" s="6" t="s">
        <v>15748</v>
      </c>
      <c r="J6110" s="5">
        <v>368</v>
      </c>
    </row>
    <row r="6111" s="2" customFormat="1" ht="27" spans="1:10">
      <c r="A6111" s="6">
        <f>6109</f>
        <v>6109</v>
      </c>
      <c r="B6111" s="6" t="s">
        <v>15749</v>
      </c>
      <c r="C6111" s="6" t="s">
        <v>12</v>
      </c>
      <c r="D6111" s="6" t="s">
        <v>14573</v>
      </c>
      <c r="E6111" s="6" t="s">
        <v>15457</v>
      </c>
      <c r="F6111" s="6" t="s">
        <v>15750</v>
      </c>
      <c r="G6111" s="6" t="s">
        <v>16</v>
      </c>
      <c r="H6111" s="5">
        <v>5</v>
      </c>
      <c r="I6111" s="6" t="s">
        <v>15751</v>
      </c>
      <c r="J6111" s="5">
        <v>1300</v>
      </c>
    </row>
    <row r="6112" s="2" customFormat="1" spans="1:10">
      <c r="A6112" s="6">
        <f>6110</f>
        <v>6110</v>
      </c>
      <c r="B6112" s="6" t="s">
        <v>15752</v>
      </c>
      <c r="C6112" s="6" t="s">
        <v>12</v>
      </c>
      <c r="D6112" s="6" t="s">
        <v>14573</v>
      </c>
      <c r="E6112" s="6" t="s">
        <v>15457</v>
      </c>
      <c r="F6112" s="6" t="s">
        <v>15753</v>
      </c>
      <c r="G6112" s="6" t="s">
        <v>16</v>
      </c>
      <c r="H6112" s="5">
        <v>1</v>
      </c>
      <c r="I6112" s="6" t="s">
        <v>15753</v>
      </c>
      <c r="J6112" s="5">
        <v>270</v>
      </c>
    </row>
    <row r="6113" s="2" customFormat="1" spans="1:10">
      <c r="A6113" s="6">
        <f>6111</f>
        <v>6111</v>
      </c>
      <c r="B6113" s="6" t="s">
        <v>15754</v>
      </c>
      <c r="C6113" s="6" t="s">
        <v>12</v>
      </c>
      <c r="D6113" s="6" t="s">
        <v>14573</v>
      </c>
      <c r="E6113" s="6" t="s">
        <v>15457</v>
      </c>
      <c r="F6113" s="6" t="s">
        <v>15755</v>
      </c>
      <c r="G6113" s="6" t="s">
        <v>16</v>
      </c>
      <c r="H6113" s="5">
        <v>1</v>
      </c>
      <c r="I6113" s="6" t="s">
        <v>15755</v>
      </c>
      <c r="J6113" s="5">
        <v>520</v>
      </c>
    </row>
    <row r="6114" s="2" customFormat="1" ht="27" spans="1:10">
      <c r="A6114" s="6">
        <f>6112</f>
        <v>6112</v>
      </c>
      <c r="B6114" s="6" t="s">
        <v>15756</v>
      </c>
      <c r="C6114" s="6" t="s">
        <v>12</v>
      </c>
      <c r="D6114" s="6" t="s">
        <v>14573</v>
      </c>
      <c r="E6114" s="6" t="s">
        <v>15457</v>
      </c>
      <c r="F6114" s="6" t="s">
        <v>15757</v>
      </c>
      <c r="G6114" s="6" t="s">
        <v>16</v>
      </c>
      <c r="H6114" s="5">
        <v>6</v>
      </c>
      <c r="I6114" s="6" t="s">
        <v>15758</v>
      </c>
      <c r="J6114" s="5">
        <v>1140</v>
      </c>
    </row>
    <row r="6115" s="2" customFormat="1" spans="1:10">
      <c r="A6115" s="6">
        <f>6113</f>
        <v>6113</v>
      </c>
      <c r="B6115" s="6" t="s">
        <v>15759</v>
      </c>
      <c r="C6115" s="6" t="s">
        <v>12</v>
      </c>
      <c r="D6115" s="6" t="s">
        <v>14573</v>
      </c>
      <c r="E6115" s="6" t="s">
        <v>15457</v>
      </c>
      <c r="F6115" s="6" t="s">
        <v>15760</v>
      </c>
      <c r="G6115" s="6" t="s">
        <v>16</v>
      </c>
      <c r="H6115" s="5">
        <v>2</v>
      </c>
      <c r="I6115" s="6" t="s">
        <v>15761</v>
      </c>
      <c r="J6115" s="5">
        <v>340</v>
      </c>
    </row>
    <row r="6116" s="2" customFormat="1" spans="1:10">
      <c r="A6116" s="6">
        <f>6114</f>
        <v>6114</v>
      </c>
      <c r="B6116" s="6" t="s">
        <v>15762</v>
      </c>
      <c r="C6116" s="6" t="s">
        <v>12</v>
      </c>
      <c r="D6116" s="6" t="s">
        <v>14573</v>
      </c>
      <c r="E6116" s="6" t="s">
        <v>15457</v>
      </c>
      <c r="F6116" s="6" t="s">
        <v>15763</v>
      </c>
      <c r="G6116" s="6" t="s">
        <v>16</v>
      </c>
      <c r="H6116" s="5">
        <v>1</v>
      </c>
      <c r="I6116" s="6" t="s">
        <v>15763</v>
      </c>
      <c r="J6116" s="5">
        <v>270</v>
      </c>
    </row>
    <row r="6117" s="2" customFormat="1" spans="1:10">
      <c r="A6117" s="6">
        <f>6115</f>
        <v>6115</v>
      </c>
      <c r="B6117" s="6" t="s">
        <v>15764</v>
      </c>
      <c r="C6117" s="6" t="s">
        <v>12</v>
      </c>
      <c r="D6117" s="6" t="s">
        <v>14573</v>
      </c>
      <c r="E6117" s="6" t="s">
        <v>15457</v>
      </c>
      <c r="F6117" s="6" t="s">
        <v>15490</v>
      </c>
      <c r="G6117" s="6" t="s">
        <v>16</v>
      </c>
      <c r="H6117" s="5">
        <v>3</v>
      </c>
      <c r="I6117" s="6" t="s">
        <v>15765</v>
      </c>
      <c r="J6117" s="5">
        <v>515</v>
      </c>
    </row>
    <row r="6118" s="2" customFormat="1" spans="1:10">
      <c r="A6118" s="6">
        <f>6116</f>
        <v>6116</v>
      </c>
      <c r="B6118" s="6" t="s">
        <v>15766</v>
      </c>
      <c r="C6118" s="6" t="s">
        <v>12</v>
      </c>
      <c r="D6118" s="6" t="s">
        <v>14573</v>
      </c>
      <c r="E6118" s="6" t="s">
        <v>15457</v>
      </c>
      <c r="F6118" s="6" t="s">
        <v>1922</v>
      </c>
      <c r="G6118" s="6" t="s">
        <v>16</v>
      </c>
      <c r="H6118" s="5">
        <v>3</v>
      </c>
      <c r="I6118" s="6" t="s">
        <v>15767</v>
      </c>
      <c r="J6118" s="5">
        <v>818</v>
      </c>
    </row>
    <row r="6119" s="2" customFormat="1" spans="1:10">
      <c r="A6119" s="6">
        <f>6117</f>
        <v>6117</v>
      </c>
      <c r="B6119" s="6" t="s">
        <v>15768</v>
      </c>
      <c r="C6119" s="6" t="s">
        <v>12</v>
      </c>
      <c r="D6119" s="6" t="s">
        <v>14573</v>
      </c>
      <c r="E6119" s="6" t="s">
        <v>15457</v>
      </c>
      <c r="F6119" s="6" t="s">
        <v>15769</v>
      </c>
      <c r="G6119" s="6" t="s">
        <v>16</v>
      </c>
      <c r="H6119" s="5">
        <v>1</v>
      </c>
      <c r="I6119" s="6" t="s">
        <v>15769</v>
      </c>
      <c r="J6119" s="5">
        <v>270</v>
      </c>
    </row>
    <row r="6120" s="2" customFormat="1" spans="1:10">
      <c r="A6120" s="6">
        <f>6118</f>
        <v>6118</v>
      </c>
      <c r="B6120" s="6" t="s">
        <v>15770</v>
      </c>
      <c r="C6120" s="6" t="s">
        <v>12</v>
      </c>
      <c r="D6120" s="6" t="s">
        <v>14573</v>
      </c>
      <c r="E6120" s="6" t="s">
        <v>15457</v>
      </c>
      <c r="F6120" s="6" t="s">
        <v>15771</v>
      </c>
      <c r="G6120" s="6" t="s">
        <v>16</v>
      </c>
      <c r="H6120" s="5">
        <v>3</v>
      </c>
      <c r="I6120" s="6" t="s">
        <v>15772</v>
      </c>
      <c r="J6120" s="5">
        <v>1000</v>
      </c>
    </row>
    <row r="6121" s="2" customFormat="1" spans="1:10">
      <c r="A6121" s="6">
        <f>6119</f>
        <v>6119</v>
      </c>
      <c r="B6121" s="6" t="s">
        <v>15773</v>
      </c>
      <c r="C6121" s="6" t="s">
        <v>12</v>
      </c>
      <c r="D6121" s="6" t="s">
        <v>14573</v>
      </c>
      <c r="E6121" s="6" t="s">
        <v>15457</v>
      </c>
      <c r="F6121" s="6" t="s">
        <v>15774</v>
      </c>
      <c r="G6121" s="6" t="s">
        <v>16</v>
      </c>
      <c r="H6121" s="5">
        <v>1</v>
      </c>
      <c r="I6121" s="6" t="s">
        <v>15774</v>
      </c>
      <c r="J6121" s="5">
        <v>270</v>
      </c>
    </row>
    <row r="6122" s="2" customFormat="1" spans="1:10">
      <c r="A6122" s="6">
        <f>6120</f>
        <v>6120</v>
      </c>
      <c r="B6122" s="6" t="s">
        <v>15775</v>
      </c>
      <c r="C6122" s="6" t="s">
        <v>12</v>
      </c>
      <c r="D6122" s="6" t="s">
        <v>14573</v>
      </c>
      <c r="E6122" s="6" t="s">
        <v>15457</v>
      </c>
      <c r="F6122" s="6" t="s">
        <v>15776</v>
      </c>
      <c r="G6122" s="6" t="s">
        <v>16</v>
      </c>
      <c r="H6122" s="5">
        <v>1</v>
      </c>
      <c r="I6122" s="6" t="s">
        <v>15776</v>
      </c>
      <c r="J6122" s="5">
        <v>270</v>
      </c>
    </row>
    <row r="6123" s="2" customFormat="1" spans="1:10">
      <c r="A6123" s="6">
        <f>6121</f>
        <v>6121</v>
      </c>
      <c r="B6123" s="6" t="s">
        <v>15777</v>
      </c>
      <c r="C6123" s="6" t="s">
        <v>12</v>
      </c>
      <c r="D6123" s="6" t="s">
        <v>14573</v>
      </c>
      <c r="E6123" s="6" t="s">
        <v>15457</v>
      </c>
      <c r="F6123" s="6" t="s">
        <v>15778</v>
      </c>
      <c r="G6123" s="6" t="s">
        <v>16</v>
      </c>
      <c r="H6123" s="5">
        <v>1</v>
      </c>
      <c r="I6123" s="6" t="s">
        <v>15778</v>
      </c>
      <c r="J6123" s="5">
        <v>265</v>
      </c>
    </row>
    <row r="6124" s="2" customFormat="1" spans="1:10">
      <c r="A6124" s="6">
        <f>6122</f>
        <v>6122</v>
      </c>
      <c r="B6124" s="6" t="s">
        <v>15779</v>
      </c>
      <c r="C6124" s="6" t="s">
        <v>12</v>
      </c>
      <c r="D6124" s="6" t="s">
        <v>14573</v>
      </c>
      <c r="E6124" s="6" t="s">
        <v>15457</v>
      </c>
      <c r="F6124" s="6" t="s">
        <v>15780</v>
      </c>
      <c r="G6124" s="6" t="s">
        <v>16</v>
      </c>
      <c r="H6124" s="5">
        <v>3</v>
      </c>
      <c r="I6124" s="6" t="s">
        <v>15781</v>
      </c>
      <c r="J6124" s="5">
        <v>940</v>
      </c>
    </row>
    <row r="6125" s="2" customFormat="1" spans="1:10">
      <c r="A6125" s="6">
        <f>6123</f>
        <v>6123</v>
      </c>
      <c r="B6125" s="6" t="s">
        <v>15782</v>
      </c>
      <c r="C6125" s="6" t="s">
        <v>12</v>
      </c>
      <c r="D6125" s="6" t="s">
        <v>14573</v>
      </c>
      <c r="E6125" s="6" t="s">
        <v>15457</v>
      </c>
      <c r="F6125" s="6" t="s">
        <v>15783</v>
      </c>
      <c r="G6125" s="6" t="s">
        <v>16</v>
      </c>
      <c r="H6125" s="5">
        <v>1</v>
      </c>
      <c r="I6125" s="6" t="s">
        <v>15783</v>
      </c>
      <c r="J6125" s="5">
        <v>305</v>
      </c>
    </row>
    <row r="6126" s="2" customFormat="1" spans="1:10">
      <c r="A6126" s="6">
        <f>6124</f>
        <v>6124</v>
      </c>
      <c r="B6126" s="6" t="s">
        <v>15784</v>
      </c>
      <c r="C6126" s="6" t="s">
        <v>12</v>
      </c>
      <c r="D6126" s="6" t="s">
        <v>15785</v>
      </c>
      <c r="E6126" s="6" t="s">
        <v>15786</v>
      </c>
      <c r="F6126" s="6" t="s">
        <v>15787</v>
      </c>
      <c r="G6126" s="6" t="s">
        <v>16</v>
      </c>
      <c r="H6126" s="5">
        <v>2</v>
      </c>
      <c r="I6126" s="6" t="s">
        <v>15788</v>
      </c>
      <c r="J6126" s="5">
        <v>410</v>
      </c>
    </row>
    <row r="6127" s="2" customFormat="1" spans="1:10">
      <c r="A6127" s="6">
        <f>6125</f>
        <v>6125</v>
      </c>
      <c r="B6127" s="6" t="s">
        <v>15789</v>
      </c>
      <c r="C6127" s="6" t="s">
        <v>12</v>
      </c>
      <c r="D6127" s="6" t="s">
        <v>15785</v>
      </c>
      <c r="E6127" s="6" t="s">
        <v>15786</v>
      </c>
      <c r="F6127" s="6" t="s">
        <v>15790</v>
      </c>
      <c r="G6127" s="6" t="s">
        <v>16</v>
      </c>
      <c r="H6127" s="5">
        <v>3</v>
      </c>
      <c r="I6127" s="6" t="s">
        <v>15791</v>
      </c>
      <c r="J6127" s="5">
        <v>927</v>
      </c>
    </row>
    <row r="6128" s="2" customFormat="1" spans="1:10">
      <c r="A6128" s="6">
        <f>6126</f>
        <v>6126</v>
      </c>
      <c r="B6128" s="6" t="s">
        <v>15792</v>
      </c>
      <c r="C6128" s="6" t="s">
        <v>12</v>
      </c>
      <c r="D6128" s="6" t="s">
        <v>15785</v>
      </c>
      <c r="E6128" s="6" t="s">
        <v>15786</v>
      </c>
      <c r="F6128" s="6" t="s">
        <v>15793</v>
      </c>
      <c r="G6128" s="6" t="s">
        <v>16</v>
      </c>
      <c r="H6128" s="5">
        <v>2</v>
      </c>
      <c r="I6128" s="6" t="s">
        <v>15794</v>
      </c>
      <c r="J6128" s="5">
        <v>946</v>
      </c>
    </row>
    <row r="6129" s="2" customFormat="1" spans="1:10">
      <c r="A6129" s="6">
        <f>6127</f>
        <v>6127</v>
      </c>
      <c r="B6129" s="6" t="s">
        <v>15795</v>
      </c>
      <c r="C6129" s="6" t="s">
        <v>12</v>
      </c>
      <c r="D6129" s="6" t="s">
        <v>15785</v>
      </c>
      <c r="E6129" s="6" t="s">
        <v>15786</v>
      </c>
      <c r="F6129" s="6" t="s">
        <v>15796</v>
      </c>
      <c r="G6129" s="6" t="s">
        <v>16</v>
      </c>
      <c r="H6129" s="5">
        <v>1</v>
      </c>
      <c r="I6129" s="6" t="s">
        <v>15796</v>
      </c>
      <c r="J6129" s="5">
        <v>543</v>
      </c>
    </row>
    <row r="6130" s="2" customFormat="1" spans="1:10">
      <c r="A6130" s="6">
        <f>6128</f>
        <v>6128</v>
      </c>
      <c r="B6130" s="6" t="s">
        <v>15797</v>
      </c>
      <c r="C6130" s="6" t="s">
        <v>12</v>
      </c>
      <c r="D6130" s="6" t="s">
        <v>15785</v>
      </c>
      <c r="E6130" s="6" t="s">
        <v>15786</v>
      </c>
      <c r="F6130" s="6" t="s">
        <v>15798</v>
      </c>
      <c r="G6130" s="6" t="s">
        <v>16</v>
      </c>
      <c r="H6130" s="5">
        <v>2</v>
      </c>
      <c r="I6130" s="6" t="s">
        <v>15799</v>
      </c>
      <c r="J6130" s="5">
        <v>800</v>
      </c>
    </row>
    <row r="6131" s="2" customFormat="1" spans="1:10">
      <c r="A6131" s="6">
        <f>6129</f>
        <v>6129</v>
      </c>
      <c r="B6131" s="6" t="s">
        <v>15800</v>
      </c>
      <c r="C6131" s="6" t="s">
        <v>12</v>
      </c>
      <c r="D6131" s="6" t="s">
        <v>15785</v>
      </c>
      <c r="E6131" s="6" t="s">
        <v>15786</v>
      </c>
      <c r="F6131" s="6" t="s">
        <v>15801</v>
      </c>
      <c r="G6131" s="6" t="s">
        <v>16</v>
      </c>
      <c r="H6131" s="5">
        <v>1</v>
      </c>
      <c r="I6131" s="6" t="s">
        <v>15801</v>
      </c>
      <c r="J6131" s="5">
        <v>463</v>
      </c>
    </row>
    <row r="6132" s="2" customFormat="1" spans="1:10">
      <c r="A6132" s="6">
        <f>6130</f>
        <v>6130</v>
      </c>
      <c r="B6132" s="6" t="s">
        <v>15802</v>
      </c>
      <c r="C6132" s="6" t="s">
        <v>12</v>
      </c>
      <c r="D6132" s="6" t="s">
        <v>15785</v>
      </c>
      <c r="E6132" s="6" t="s">
        <v>15786</v>
      </c>
      <c r="F6132" s="6" t="s">
        <v>15803</v>
      </c>
      <c r="G6132" s="6" t="s">
        <v>16</v>
      </c>
      <c r="H6132" s="5">
        <v>3</v>
      </c>
      <c r="I6132" s="6" t="s">
        <v>15804</v>
      </c>
      <c r="J6132" s="5">
        <v>985</v>
      </c>
    </row>
    <row r="6133" s="2" customFormat="1" spans="1:10">
      <c r="A6133" s="6">
        <f>6131</f>
        <v>6131</v>
      </c>
      <c r="B6133" s="6" t="s">
        <v>15805</v>
      </c>
      <c r="C6133" s="6" t="s">
        <v>12</v>
      </c>
      <c r="D6133" s="6" t="s">
        <v>15785</v>
      </c>
      <c r="E6133" s="6" t="s">
        <v>15786</v>
      </c>
      <c r="F6133" s="6" t="s">
        <v>15806</v>
      </c>
      <c r="G6133" s="6" t="s">
        <v>16</v>
      </c>
      <c r="H6133" s="5">
        <v>2</v>
      </c>
      <c r="I6133" s="6" t="s">
        <v>15807</v>
      </c>
      <c r="J6133" s="5">
        <v>526</v>
      </c>
    </row>
    <row r="6134" s="2" customFormat="1" spans="1:10">
      <c r="A6134" s="6">
        <f>6132</f>
        <v>6132</v>
      </c>
      <c r="B6134" s="6" t="s">
        <v>15808</v>
      </c>
      <c r="C6134" s="6" t="s">
        <v>12</v>
      </c>
      <c r="D6134" s="6" t="s">
        <v>15785</v>
      </c>
      <c r="E6134" s="6" t="s">
        <v>15786</v>
      </c>
      <c r="F6134" s="6" t="s">
        <v>15809</v>
      </c>
      <c r="G6134" s="6" t="s">
        <v>16</v>
      </c>
      <c r="H6134" s="5">
        <v>1</v>
      </c>
      <c r="I6134" s="6" t="s">
        <v>15809</v>
      </c>
      <c r="J6134" s="5">
        <v>323</v>
      </c>
    </row>
    <row r="6135" s="2" customFormat="1" spans="1:10">
      <c r="A6135" s="6">
        <f>6133</f>
        <v>6133</v>
      </c>
      <c r="B6135" s="6" t="s">
        <v>15810</v>
      </c>
      <c r="C6135" s="6" t="s">
        <v>12</v>
      </c>
      <c r="D6135" s="6" t="s">
        <v>15785</v>
      </c>
      <c r="E6135" s="6" t="s">
        <v>15786</v>
      </c>
      <c r="F6135" s="6" t="s">
        <v>15811</v>
      </c>
      <c r="G6135" s="6" t="s">
        <v>16</v>
      </c>
      <c r="H6135" s="5">
        <v>1</v>
      </c>
      <c r="I6135" s="6" t="s">
        <v>15811</v>
      </c>
      <c r="J6135" s="5">
        <v>380</v>
      </c>
    </row>
    <row r="6136" s="2" customFormat="1" spans="1:10">
      <c r="A6136" s="6">
        <f>6134</f>
        <v>6134</v>
      </c>
      <c r="B6136" s="6" t="s">
        <v>15812</v>
      </c>
      <c r="C6136" s="6" t="s">
        <v>12</v>
      </c>
      <c r="D6136" s="6" t="s">
        <v>15785</v>
      </c>
      <c r="E6136" s="6" t="s">
        <v>15786</v>
      </c>
      <c r="F6136" s="6" t="s">
        <v>15813</v>
      </c>
      <c r="G6136" s="6" t="s">
        <v>16</v>
      </c>
      <c r="H6136" s="5">
        <v>2</v>
      </c>
      <c r="I6136" s="6" t="s">
        <v>15814</v>
      </c>
      <c r="J6136" s="5">
        <v>526</v>
      </c>
    </row>
    <row r="6137" s="2" customFormat="1" ht="27" spans="1:10">
      <c r="A6137" s="6">
        <f>6135</f>
        <v>6135</v>
      </c>
      <c r="B6137" s="6" t="s">
        <v>15815</v>
      </c>
      <c r="C6137" s="6" t="s">
        <v>12</v>
      </c>
      <c r="D6137" s="6" t="s">
        <v>15785</v>
      </c>
      <c r="E6137" s="6" t="s">
        <v>15786</v>
      </c>
      <c r="F6137" s="6" t="s">
        <v>15816</v>
      </c>
      <c r="G6137" s="6" t="s">
        <v>16</v>
      </c>
      <c r="H6137" s="5">
        <v>6</v>
      </c>
      <c r="I6137" s="6" t="s">
        <v>15817</v>
      </c>
      <c r="J6137" s="5">
        <v>978</v>
      </c>
    </row>
    <row r="6138" s="2" customFormat="1" spans="1:10">
      <c r="A6138" s="6">
        <f>6136</f>
        <v>6136</v>
      </c>
      <c r="B6138" s="6" t="s">
        <v>15818</v>
      </c>
      <c r="C6138" s="6" t="s">
        <v>12</v>
      </c>
      <c r="D6138" s="6" t="s">
        <v>15785</v>
      </c>
      <c r="E6138" s="6" t="s">
        <v>15786</v>
      </c>
      <c r="F6138" s="6" t="s">
        <v>15819</v>
      </c>
      <c r="G6138" s="6" t="s">
        <v>16</v>
      </c>
      <c r="H6138" s="5">
        <v>1</v>
      </c>
      <c r="I6138" s="6" t="s">
        <v>15819</v>
      </c>
      <c r="J6138" s="5">
        <v>263</v>
      </c>
    </row>
    <row r="6139" s="2" customFormat="1" spans="1:10">
      <c r="A6139" s="6">
        <f>6137</f>
        <v>6137</v>
      </c>
      <c r="B6139" s="6" t="s">
        <v>15820</v>
      </c>
      <c r="C6139" s="6" t="s">
        <v>12</v>
      </c>
      <c r="D6139" s="6" t="s">
        <v>15785</v>
      </c>
      <c r="E6139" s="6" t="s">
        <v>15786</v>
      </c>
      <c r="F6139" s="6" t="s">
        <v>15821</v>
      </c>
      <c r="G6139" s="6" t="s">
        <v>16</v>
      </c>
      <c r="H6139" s="5">
        <v>1</v>
      </c>
      <c r="I6139" s="6" t="s">
        <v>15821</v>
      </c>
      <c r="J6139" s="5">
        <v>480</v>
      </c>
    </row>
    <row r="6140" s="2" customFormat="1" spans="1:10">
      <c r="A6140" s="6">
        <f>6138</f>
        <v>6138</v>
      </c>
      <c r="B6140" s="6" t="s">
        <v>15822</v>
      </c>
      <c r="C6140" s="6" t="s">
        <v>12</v>
      </c>
      <c r="D6140" s="6" t="s">
        <v>15785</v>
      </c>
      <c r="E6140" s="6" t="s">
        <v>15786</v>
      </c>
      <c r="F6140" s="6" t="s">
        <v>15823</v>
      </c>
      <c r="G6140" s="6" t="s">
        <v>16</v>
      </c>
      <c r="H6140" s="5">
        <v>1</v>
      </c>
      <c r="I6140" s="6" t="s">
        <v>15823</v>
      </c>
      <c r="J6140" s="5">
        <v>480</v>
      </c>
    </row>
    <row r="6141" s="2" customFormat="1" spans="1:10">
      <c r="A6141" s="6">
        <f>6139</f>
        <v>6139</v>
      </c>
      <c r="B6141" s="6" t="s">
        <v>15824</v>
      </c>
      <c r="C6141" s="6" t="s">
        <v>12</v>
      </c>
      <c r="D6141" s="6" t="s">
        <v>15785</v>
      </c>
      <c r="E6141" s="6" t="s">
        <v>15786</v>
      </c>
      <c r="F6141" s="6" t="s">
        <v>15825</v>
      </c>
      <c r="G6141" s="6" t="s">
        <v>16</v>
      </c>
      <c r="H6141" s="5">
        <v>1</v>
      </c>
      <c r="I6141" s="6" t="s">
        <v>15825</v>
      </c>
      <c r="J6141" s="5">
        <v>253</v>
      </c>
    </row>
    <row r="6142" s="2" customFormat="1" spans="1:10">
      <c r="A6142" s="6">
        <f>6140</f>
        <v>6140</v>
      </c>
      <c r="B6142" s="6" t="s">
        <v>15826</v>
      </c>
      <c r="C6142" s="6" t="s">
        <v>12</v>
      </c>
      <c r="D6142" s="6" t="s">
        <v>15785</v>
      </c>
      <c r="E6142" s="6" t="s">
        <v>15786</v>
      </c>
      <c r="F6142" s="6" t="s">
        <v>15827</v>
      </c>
      <c r="G6142" s="6" t="s">
        <v>16</v>
      </c>
      <c r="H6142" s="5">
        <v>1</v>
      </c>
      <c r="I6142" s="6" t="s">
        <v>15827</v>
      </c>
      <c r="J6142" s="5">
        <v>483</v>
      </c>
    </row>
    <row r="6143" s="2" customFormat="1" spans="1:10">
      <c r="A6143" s="6">
        <f>6141</f>
        <v>6141</v>
      </c>
      <c r="B6143" s="6" t="s">
        <v>15828</v>
      </c>
      <c r="C6143" s="6" t="s">
        <v>12</v>
      </c>
      <c r="D6143" s="6" t="s">
        <v>15785</v>
      </c>
      <c r="E6143" s="6" t="s">
        <v>15786</v>
      </c>
      <c r="F6143" s="6" t="s">
        <v>15829</v>
      </c>
      <c r="G6143" s="6" t="s">
        <v>16</v>
      </c>
      <c r="H6143" s="5">
        <v>1</v>
      </c>
      <c r="I6143" s="6" t="s">
        <v>15829</v>
      </c>
      <c r="J6143" s="5">
        <v>483</v>
      </c>
    </row>
    <row r="6144" s="2" customFormat="1" ht="27" spans="1:10">
      <c r="A6144" s="6">
        <f>6142</f>
        <v>6142</v>
      </c>
      <c r="B6144" s="6" t="s">
        <v>15830</v>
      </c>
      <c r="C6144" s="6" t="s">
        <v>12</v>
      </c>
      <c r="D6144" s="6" t="s">
        <v>15785</v>
      </c>
      <c r="E6144" s="6" t="s">
        <v>15786</v>
      </c>
      <c r="F6144" s="6" t="s">
        <v>15831</v>
      </c>
      <c r="G6144" s="6" t="s">
        <v>16</v>
      </c>
      <c r="H6144" s="5">
        <v>4</v>
      </c>
      <c r="I6144" s="6" t="s">
        <v>15832</v>
      </c>
      <c r="J6144" s="5">
        <v>772</v>
      </c>
    </row>
    <row r="6145" s="2" customFormat="1" spans="1:10">
      <c r="A6145" s="6">
        <f>6143</f>
        <v>6143</v>
      </c>
      <c r="B6145" s="6" t="s">
        <v>15833</v>
      </c>
      <c r="C6145" s="6" t="s">
        <v>12</v>
      </c>
      <c r="D6145" s="6" t="s">
        <v>15785</v>
      </c>
      <c r="E6145" s="6" t="s">
        <v>15786</v>
      </c>
      <c r="F6145" s="6" t="s">
        <v>15834</v>
      </c>
      <c r="G6145" s="6" t="s">
        <v>16</v>
      </c>
      <c r="H6145" s="5">
        <v>1</v>
      </c>
      <c r="I6145" s="6" t="s">
        <v>15834</v>
      </c>
      <c r="J6145" s="5">
        <v>398</v>
      </c>
    </row>
    <row r="6146" s="2" customFormat="1" spans="1:10">
      <c r="A6146" s="6">
        <f>6144</f>
        <v>6144</v>
      </c>
      <c r="B6146" s="6" t="s">
        <v>15835</v>
      </c>
      <c r="C6146" s="6" t="s">
        <v>12</v>
      </c>
      <c r="D6146" s="6" t="s">
        <v>15785</v>
      </c>
      <c r="E6146" s="6" t="s">
        <v>15786</v>
      </c>
      <c r="F6146" s="6" t="s">
        <v>15836</v>
      </c>
      <c r="G6146" s="6" t="s">
        <v>16</v>
      </c>
      <c r="H6146" s="5">
        <v>2</v>
      </c>
      <c r="I6146" s="6" t="s">
        <v>15837</v>
      </c>
      <c r="J6146" s="5">
        <v>796</v>
      </c>
    </row>
    <row r="6147" s="2" customFormat="1" spans="1:10">
      <c r="A6147" s="6">
        <f>6145</f>
        <v>6145</v>
      </c>
      <c r="B6147" s="6" t="s">
        <v>15838</v>
      </c>
      <c r="C6147" s="6" t="s">
        <v>12</v>
      </c>
      <c r="D6147" s="6" t="s">
        <v>15785</v>
      </c>
      <c r="E6147" s="6" t="s">
        <v>15786</v>
      </c>
      <c r="F6147" s="6" t="s">
        <v>15839</v>
      </c>
      <c r="G6147" s="6" t="s">
        <v>16</v>
      </c>
      <c r="H6147" s="5">
        <v>1</v>
      </c>
      <c r="I6147" s="6" t="s">
        <v>15839</v>
      </c>
      <c r="J6147" s="5">
        <v>520</v>
      </c>
    </row>
    <row r="6148" s="2" customFormat="1" spans="1:10">
      <c r="A6148" s="6">
        <f>6146</f>
        <v>6146</v>
      </c>
      <c r="B6148" s="6" t="s">
        <v>15840</v>
      </c>
      <c r="C6148" s="6" t="s">
        <v>12</v>
      </c>
      <c r="D6148" s="6" t="s">
        <v>15785</v>
      </c>
      <c r="E6148" s="6" t="s">
        <v>15841</v>
      </c>
      <c r="F6148" s="6" t="s">
        <v>15842</v>
      </c>
      <c r="G6148" s="6" t="s">
        <v>16</v>
      </c>
      <c r="H6148" s="5">
        <v>1</v>
      </c>
      <c r="I6148" s="6" t="s">
        <v>15842</v>
      </c>
      <c r="J6148" s="5">
        <v>440</v>
      </c>
    </row>
    <row r="6149" s="2" customFormat="1" spans="1:10">
      <c r="A6149" s="6">
        <f>6147</f>
        <v>6147</v>
      </c>
      <c r="B6149" s="6" t="s">
        <v>15843</v>
      </c>
      <c r="C6149" s="6" t="s">
        <v>12</v>
      </c>
      <c r="D6149" s="6" t="s">
        <v>15785</v>
      </c>
      <c r="E6149" s="6" t="s">
        <v>15841</v>
      </c>
      <c r="F6149" s="6" t="s">
        <v>15844</v>
      </c>
      <c r="G6149" s="6" t="s">
        <v>16</v>
      </c>
      <c r="H6149" s="5">
        <v>3</v>
      </c>
      <c r="I6149" s="6" t="s">
        <v>15845</v>
      </c>
      <c r="J6149" s="5">
        <v>750</v>
      </c>
    </row>
    <row r="6150" s="2" customFormat="1" spans="1:10">
      <c r="A6150" s="6">
        <f>6148</f>
        <v>6148</v>
      </c>
      <c r="B6150" s="6" t="s">
        <v>15846</v>
      </c>
      <c r="C6150" s="6" t="s">
        <v>12</v>
      </c>
      <c r="D6150" s="6" t="s">
        <v>15785</v>
      </c>
      <c r="E6150" s="6" t="s">
        <v>15841</v>
      </c>
      <c r="F6150" s="6" t="s">
        <v>15847</v>
      </c>
      <c r="G6150" s="6" t="s">
        <v>16</v>
      </c>
      <c r="H6150" s="5">
        <v>1</v>
      </c>
      <c r="I6150" s="6" t="s">
        <v>15847</v>
      </c>
      <c r="J6150" s="5">
        <v>540</v>
      </c>
    </row>
    <row r="6151" s="2" customFormat="1" spans="1:10">
      <c r="A6151" s="6">
        <f>6149</f>
        <v>6149</v>
      </c>
      <c r="B6151" s="6" t="s">
        <v>15848</v>
      </c>
      <c r="C6151" s="6" t="s">
        <v>12</v>
      </c>
      <c r="D6151" s="6" t="s">
        <v>15785</v>
      </c>
      <c r="E6151" s="6" t="s">
        <v>15841</v>
      </c>
      <c r="F6151" s="6" t="s">
        <v>15849</v>
      </c>
      <c r="G6151" s="6" t="s">
        <v>16</v>
      </c>
      <c r="H6151" s="5">
        <v>3</v>
      </c>
      <c r="I6151" s="6" t="s">
        <v>15850</v>
      </c>
      <c r="J6151" s="5">
        <v>867</v>
      </c>
    </row>
    <row r="6152" s="2" customFormat="1" spans="1:10">
      <c r="A6152" s="6">
        <f>6150</f>
        <v>6150</v>
      </c>
      <c r="B6152" s="6" t="s">
        <v>15851</v>
      </c>
      <c r="C6152" s="6" t="s">
        <v>12</v>
      </c>
      <c r="D6152" s="6" t="s">
        <v>15785</v>
      </c>
      <c r="E6152" s="6" t="s">
        <v>15841</v>
      </c>
      <c r="F6152" s="6" t="s">
        <v>15852</v>
      </c>
      <c r="G6152" s="6" t="s">
        <v>16</v>
      </c>
      <c r="H6152" s="5">
        <v>3</v>
      </c>
      <c r="I6152" s="6" t="s">
        <v>15853</v>
      </c>
      <c r="J6152" s="5">
        <v>785</v>
      </c>
    </row>
    <row r="6153" s="2" customFormat="1" spans="1:10">
      <c r="A6153" s="6">
        <f>6151</f>
        <v>6151</v>
      </c>
      <c r="B6153" s="6" t="s">
        <v>15854</v>
      </c>
      <c r="C6153" s="6" t="s">
        <v>12</v>
      </c>
      <c r="D6153" s="6" t="s">
        <v>15785</v>
      </c>
      <c r="E6153" s="6" t="s">
        <v>15841</v>
      </c>
      <c r="F6153" s="6" t="s">
        <v>15855</v>
      </c>
      <c r="G6153" s="6" t="s">
        <v>16</v>
      </c>
      <c r="H6153" s="5">
        <v>2</v>
      </c>
      <c r="I6153" s="6" t="s">
        <v>15856</v>
      </c>
      <c r="J6153" s="5">
        <v>690</v>
      </c>
    </row>
    <row r="6154" s="2" customFormat="1" spans="1:10">
      <c r="A6154" s="6">
        <f>6152</f>
        <v>6152</v>
      </c>
      <c r="B6154" s="6" t="s">
        <v>15857</v>
      </c>
      <c r="C6154" s="6" t="s">
        <v>12</v>
      </c>
      <c r="D6154" s="6" t="s">
        <v>15785</v>
      </c>
      <c r="E6154" s="6" t="s">
        <v>15841</v>
      </c>
      <c r="F6154" s="6" t="s">
        <v>15858</v>
      </c>
      <c r="G6154" s="6" t="s">
        <v>16</v>
      </c>
      <c r="H6154" s="5">
        <v>2</v>
      </c>
      <c r="I6154" s="6" t="s">
        <v>15859</v>
      </c>
      <c r="J6154" s="5">
        <v>1240</v>
      </c>
    </row>
    <row r="6155" s="2" customFormat="1" spans="1:10">
      <c r="A6155" s="6">
        <f>6153</f>
        <v>6153</v>
      </c>
      <c r="B6155" s="6" t="s">
        <v>15860</v>
      </c>
      <c r="C6155" s="6" t="s">
        <v>12</v>
      </c>
      <c r="D6155" s="6" t="s">
        <v>15785</v>
      </c>
      <c r="E6155" s="6" t="s">
        <v>15841</v>
      </c>
      <c r="F6155" s="6" t="s">
        <v>15861</v>
      </c>
      <c r="G6155" s="6" t="s">
        <v>16</v>
      </c>
      <c r="H6155" s="5">
        <v>2</v>
      </c>
      <c r="I6155" s="6" t="s">
        <v>15862</v>
      </c>
      <c r="J6155" s="5">
        <v>800</v>
      </c>
    </row>
    <row r="6156" s="2" customFormat="1" spans="1:10">
      <c r="A6156" s="6">
        <f>6154</f>
        <v>6154</v>
      </c>
      <c r="B6156" s="6" t="s">
        <v>15863</v>
      </c>
      <c r="C6156" s="6" t="s">
        <v>12</v>
      </c>
      <c r="D6156" s="6" t="s">
        <v>15785</v>
      </c>
      <c r="E6156" s="6" t="s">
        <v>15841</v>
      </c>
      <c r="F6156" s="6" t="s">
        <v>15864</v>
      </c>
      <c r="G6156" s="6" t="s">
        <v>16</v>
      </c>
      <c r="H6156" s="5">
        <v>2</v>
      </c>
      <c r="I6156" s="6" t="s">
        <v>15865</v>
      </c>
      <c r="J6156" s="5">
        <v>507</v>
      </c>
    </row>
    <row r="6157" s="2" customFormat="1" spans="1:10">
      <c r="A6157" s="6">
        <f>6155</f>
        <v>6155</v>
      </c>
      <c r="B6157" s="6" t="s">
        <v>15866</v>
      </c>
      <c r="C6157" s="6" t="s">
        <v>12</v>
      </c>
      <c r="D6157" s="6" t="s">
        <v>15785</v>
      </c>
      <c r="E6157" s="6" t="s">
        <v>15841</v>
      </c>
      <c r="F6157" s="6" t="s">
        <v>15867</v>
      </c>
      <c r="G6157" s="6" t="s">
        <v>16</v>
      </c>
      <c r="H6157" s="5">
        <v>2</v>
      </c>
      <c r="I6157" s="6" t="s">
        <v>15868</v>
      </c>
      <c r="J6157" s="5">
        <v>866</v>
      </c>
    </row>
    <row r="6158" s="2" customFormat="1" spans="1:10">
      <c r="A6158" s="6">
        <f>6156</f>
        <v>6156</v>
      </c>
      <c r="B6158" s="6" t="s">
        <v>15869</v>
      </c>
      <c r="C6158" s="6" t="s">
        <v>12</v>
      </c>
      <c r="D6158" s="6" t="s">
        <v>15785</v>
      </c>
      <c r="E6158" s="6" t="s">
        <v>15841</v>
      </c>
      <c r="F6158" s="6" t="s">
        <v>15870</v>
      </c>
      <c r="G6158" s="6" t="s">
        <v>16</v>
      </c>
      <c r="H6158" s="5">
        <v>2</v>
      </c>
      <c r="I6158" s="6" t="s">
        <v>15871</v>
      </c>
      <c r="J6158" s="5">
        <v>926</v>
      </c>
    </row>
    <row r="6159" s="2" customFormat="1" spans="1:10">
      <c r="A6159" s="6">
        <f>6157</f>
        <v>6157</v>
      </c>
      <c r="B6159" s="6" t="s">
        <v>15872</v>
      </c>
      <c r="C6159" s="6" t="s">
        <v>12</v>
      </c>
      <c r="D6159" s="6" t="s">
        <v>15785</v>
      </c>
      <c r="E6159" s="6" t="s">
        <v>15841</v>
      </c>
      <c r="F6159" s="6" t="s">
        <v>15873</v>
      </c>
      <c r="G6159" s="6" t="s">
        <v>16</v>
      </c>
      <c r="H6159" s="5">
        <v>2</v>
      </c>
      <c r="I6159" s="6" t="s">
        <v>15874</v>
      </c>
      <c r="J6159" s="5">
        <v>926</v>
      </c>
    </row>
    <row r="6160" s="2" customFormat="1" spans="1:10">
      <c r="A6160" s="6">
        <f>6158</f>
        <v>6158</v>
      </c>
      <c r="B6160" s="6" t="s">
        <v>15875</v>
      </c>
      <c r="C6160" s="6" t="s">
        <v>12</v>
      </c>
      <c r="D6160" s="6" t="s">
        <v>15785</v>
      </c>
      <c r="E6160" s="6" t="s">
        <v>15841</v>
      </c>
      <c r="F6160" s="6" t="s">
        <v>15876</v>
      </c>
      <c r="G6160" s="6" t="s">
        <v>16</v>
      </c>
      <c r="H6160" s="5">
        <v>1</v>
      </c>
      <c r="I6160" s="6" t="s">
        <v>15876</v>
      </c>
      <c r="J6160" s="5">
        <v>543</v>
      </c>
    </row>
    <row r="6161" s="2" customFormat="1" spans="1:10">
      <c r="A6161" s="6">
        <f>6159</f>
        <v>6159</v>
      </c>
      <c r="B6161" s="6" t="s">
        <v>15877</v>
      </c>
      <c r="C6161" s="6" t="s">
        <v>12</v>
      </c>
      <c r="D6161" s="6" t="s">
        <v>15785</v>
      </c>
      <c r="E6161" s="6" t="s">
        <v>15841</v>
      </c>
      <c r="F6161" s="6" t="s">
        <v>15878</v>
      </c>
      <c r="G6161" s="6" t="s">
        <v>16</v>
      </c>
      <c r="H6161" s="5">
        <v>2</v>
      </c>
      <c r="I6161" s="6" t="s">
        <v>15879</v>
      </c>
      <c r="J6161" s="5">
        <v>600</v>
      </c>
    </row>
    <row r="6162" s="2" customFormat="1" spans="1:10">
      <c r="A6162" s="6">
        <f>6160</f>
        <v>6160</v>
      </c>
      <c r="B6162" s="6" t="s">
        <v>15880</v>
      </c>
      <c r="C6162" s="6" t="s">
        <v>12</v>
      </c>
      <c r="D6162" s="6" t="s">
        <v>15785</v>
      </c>
      <c r="E6162" s="6" t="s">
        <v>15841</v>
      </c>
      <c r="F6162" s="6" t="s">
        <v>15881</v>
      </c>
      <c r="G6162" s="6" t="s">
        <v>16</v>
      </c>
      <c r="H6162" s="5">
        <v>1</v>
      </c>
      <c r="I6162" s="6" t="s">
        <v>15881</v>
      </c>
      <c r="J6162" s="5">
        <v>340</v>
      </c>
    </row>
    <row r="6163" s="2" customFormat="1" spans="1:10">
      <c r="A6163" s="6">
        <f>6161</f>
        <v>6161</v>
      </c>
      <c r="B6163" s="6" t="s">
        <v>15882</v>
      </c>
      <c r="C6163" s="6" t="s">
        <v>12</v>
      </c>
      <c r="D6163" s="6" t="s">
        <v>15785</v>
      </c>
      <c r="E6163" s="6" t="s">
        <v>15841</v>
      </c>
      <c r="F6163" s="6" t="s">
        <v>15883</v>
      </c>
      <c r="G6163" s="6" t="s">
        <v>16</v>
      </c>
      <c r="H6163" s="5">
        <v>1</v>
      </c>
      <c r="I6163" s="6" t="s">
        <v>15883</v>
      </c>
      <c r="J6163" s="5">
        <v>468</v>
      </c>
    </row>
    <row r="6164" s="2" customFormat="1" spans="1:10">
      <c r="A6164" s="6">
        <f>6162</f>
        <v>6162</v>
      </c>
      <c r="B6164" s="6" t="s">
        <v>15884</v>
      </c>
      <c r="C6164" s="6" t="s">
        <v>12</v>
      </c>
      <c r="D6164" s="6" t="s">
        <v>15785</v>
      </c>
      <c r="E6164" s="6" t="s">
        <v>15841</v>
      </c>
      <c r="F6164" s="6" t="s">
        <v>15885</v>
      </c>
      <c r="G6164" s="6" t="s">
        <v>16</v>
      </c>
      <c r="H6164" s="5">
        <v>1</v>
      </c>
      <c r="I6164" s="6" t="s">
        <v>15885</v>
      </c>
      <c r="J6164" s="5">
        <v>340</v>
      </c>
    </row>
    <row r="6165" s="2" customFormat="1" spans="1:10">
      <c r="A6165" s="6">
        <f>6163</f>
        <v>6163</v>
      </c>
      <c r="B6165" s="6" t="s">
        <v>15886</v>
      </c>
      <c r="C6165" s="6" t="s">
        <v>12</v>
      </c>
      <c r="D6165" s="6" t="s">
        <v>15785</v>
      </c>
      <c r="E6165" s="6" t="s">
        <v>15841</v>
      </c>
      <c r="F6165" s="6" t="s">
        <v>15887</v>
      </c>
      <c r="G6165" s="6" t="s">
        <v>16</v>
      </c>
      <c r="H6165" s="5">
        <v>1</v>
      </c>
      <c r="I6165" s="6" t="s">
        <v>15887</v>
      </c>
      <c r="J6165" s="5">
        <v>543</v>
      </c>
    </row>
    <row r="6166" s="2" customFormat="1" spans="1:10">
      <c r="A6166" s="6">
        <f>6164</f>
        <v>6164</v>
      </c>
      <c r="B6166" s="6" t="s">
        <v>15888</v>
      </c>
      <c r="C6166" s="6" t="s">
        <v>12</v>
      </c>
      <c r="D6166" s="6" t="s">
        <v>15785</v>
      </c>
      <c r="E6166" s="6" t="s">
        <v>15841</v>
      </c>
      <c r="F6166" s="6" t="s">
        <v>15889</v>
      </c>
      <c r="G6166" s="6" t="s">
        <v>16</v>
      </c>
      <c r="H6166" s="5">
        <v>2</v>
      </c>
      <c r="I6166" s="6" t="s">
        <v>15890</v>
      </c>
      <c r="J6166" s="5">
        <v>840</v>
      </c>
    </row>
    <row r="6167" s="2" customFormat="1" spans="1:10">
      <c r="A6167" s="6">
        <f>6165</f>
        <v>6165</v>
      </c>
      <c r="B6167" s="6" t="s">
        <v>15891</v>
      </c>
      <c r="C6167" s="6" t="s">
        <v>12</v>
      </c>
      <c r="D6167" s="6" t="s">
        <v>15785</v>
      </c>
      <c r="E6167" s="6" t="s">
        <v>15841</v>
      </c>
      <c r="F6167" s="6" t="s">
        <v>15892</v>
      </c>
      <c r="G6167" s="6" t="s">
        <v>16</v>
      </c>
      <c r="H6167" s="5">
        <v>1</v>
      </c>
      <c r="I6167" s="6" t="s">
        <v>15892</v>
      </c>
      <c r="J6167" s="5">
        <v>463</v>
      </c>
    </row>
    <row r="6168" s="2" customFormat="1" spans="1:10">
      <c r="A6168" s="6">
        <f>6166</f>
        <v>6166</v>
      </c>
      <c r="B6168" s="6" t="s">
        <v>15893</v>
      </c>
      <c r="C6168" s="6" t="s">
        <v>12</v>
      </c>
      <c r="D6168" s="6" t="s">
        <v>15785</v>
      </c>
      <c r="E6168" s="6" t="s">
        <v>15841</v>
      </c>
      <c r="F6168" s="6" t="s">
        <v>15894</v>
      </c>
      <c r="G6168" s="6" t="s">
        <v>16</v>
      </c>
      <c r="H6168" s="5">
        <v>2</v>
      </c>
      <c r="I6168" s="6" t="s">
        <v>15895</v>
      </c>
      <c r="J6168" s="5">
        <v>734</v>
      </c>
    </row>
    <row r="6169" s="2" customFormat="1" spans="1:10">
      <c r="A6169" s="6">
        <f>6167</f>
        <v>6167</v>
      </c>
      <c r="B6169" s="6" t="s">
        <v>15896</v>
      </c>
      <c r="C6169" s="6" t="s">
        <v>12</v>
      </c>
      <c r="D6169" s="6" t="s">
        <v>15785</v>
      </c>
      <c r="E6169" s="6" t="s">
        <v>15841</v>
      </c>
      <c r="F6169" s="6" t="s">
        <v>15897</v>
      </c>
      <c r="G6169" s="6" t="s">
        <v>16</v>
      </c>
      <c r="H6169" s="5">
        <v>1</v>
      </c>
      <c r="I6169" s="6" t="s">
        <v>15897</v>
      </c>
      <c r="J6169" s="5">
        <v>473</v>
      </c>
    </row>
    <row r="6170" s="2" customFormat="1" spans="1:10">
      <c r="A6170" s="6">
        <f>6168</f>
        <v>6168</v>
      </c>
      <c r="B6170" s="6" t="s">
        <v>15898</v>
      </c>
      <c r="C6170" s="6" t="s">
        <v>12</v>
      </c>
      <c r="D6170" s="6" t="s">
        <v>15785</v>
      </c>
      <c r="E6170" s="6" t="s">
        <v>15841</v>
      </c>
      <c r="F6170" s="6" t="s">
        <v>15899</v>
      </c>
      <c r="G6170" s="6" t="s">
        <v>16</v>
      </c>
      <c r="H6170" s="5">
        <v>2</v>
      </c>
      <c r="I6170" s="6" t="s">
        <v>15900</v>
      </c>
      <c r="J6170" s="5">
        <v>926</v>
      </c>
    </row>
    <row r="6171" s="2" customFormat="1" spans="1:10">
      <c r="A6171" s="6">
        <f>6169</f>
        <v>6169</v>
      </c>
      <c r="B6171" s="6" t="s">
        <v>15901</v>
      </c>
      <c r="C6171" s="6" t="s">
        <v>12</v>
      </c>
      <c r="D6171" s="6" t="s">
        <v>15785</v>
      </c>
      <c r="E6171" s="6" t="s">
        <v>15841</v>
      </c>
      <c r="F6171" s="6" t="s">
        <v>15902</v>
      </c>
      <c r="G6171" s="6" t="s">
        <v>16</v>
      </c>
      <c r="H6171" s="5">
        <v>1</v>
      </c>
      <c r="I6171" s="6" t="s">
        <v>15902</v>
      </c>
      <c r="J6171" s="5">
        <v>523</v>
      </c>
    </row>
    <row r="6172" s="2" customFormat="1" spans="1:10">
      <c r="A6172" s="6">
        <f>6170</f>
        <v>6170</v>
      </c>
      <c r="B6172" s="6" t="s">
        <v>15903</v>
      </c>
      <c r="C6172" s="6" t="s">
        <v>12</v>
      </c>
      <c r="D6172" s="6" t="s">
        <v>15785</v>
      </c>
      <c r="E6172" s="6" t="s">
        <v>15841</v>
      </c>
      <c r="F6172" s="6" t="s">
        <v>15904</v>
      </c>
      <c r="G6172" s="6" t="s">
        <v>16</v>
      </c>
      <c r="H6172" s="5">
        <v>2</v>
      </c>
      <c r="I6172" s="6" t="s">
        <v>15905</v>
      </c>
      <c r="J6172" s="5">
        <v>336</v>
      </c>
    </row>
    <row r="6173" s="2" customFormat="1" spans="1:10">
      <c r="A6173" s="6">
        <f>6171</f>
        <v>6171</v>
      </c>
      <c r="B6173" s="6" t="s">
        <v>15906</v>
      </c>
      <c r="C6173" s="6" t="s">
        <v>12</v>
      </c>
      <c r="D6173" s="6" t="s">
        <v>15785</v>
      </c>
      <c r="E6173" s="6" t="s">
        <v>15841</v>
      </c>
      <c r="F6173" s="6" t="s">
        <v>15907</v>
      </c>
      <c r="G6173" s="6" t="s">
        <v>16</v>
      </c>
      <c r="H6173" s="5">
        <v>2</v>
      </c>
      <c r="I6173" s="6" t="s">
        <v>15908</v>
      </c>
      <c r="J6173" s="5">
        <v>626</v>
      </c>
    </row>
    <row r="6174" s="2" customFormat="1" spans="1:10">
      <c r="A6174" s="6">
        <f>6172</f>
        <v>6172</v>
      </c>
      <c r="B6174" s="6" t="s">
        <v>15909</v>
      </c>
      <c r="C6174" s="6" t="s">
        <v>12</v>
      </c>
      <c r="D6174" s="6" t="s">
        <v>15785</v>
      </c>
      <c r="E6174" s="6" t="s">
        <v>15841</v>
      </c>
      <c r="F6174" s="6" t="s">
        <v>15910</v>
      </c>
      <c r="G6174" s="6" t="s">
        <v>16</v>
      </c>
      <c r="H6174" s="5">
        <v>1</v>
      </c>
      <c r="I6174" s="6" t="s">
        <v>15910</v>
      </c>
      <c r="J6174" s="5">
        <v>360</v>
      </c>
    </row>
    <row r="6175" s="2" customFormat="1" spans="1:10">
      <c r="A6175" s="6">
        <f>6173</f>
        <v>6173</v>
      </c>
      <c r="B6175" s="6" t="s">
        <v>15911</v>
      </c>
      <c r="C6175" s="6" t="s">
        <v>12</v>
      </c>
      <c r="D6175" s="6" t="s">
        <v>15785</v>
      </c>
      <c r="E6175" s="6" t="s">
        <v>15912</v>
      </c>
      <c r="F6175" s="6" t="s">
        <v>15913</v>
      </c>
      <c r="G6175" s="6" t="s">
        <v>16</v>
      </c>
      <c r="H6175" s="5">
        <v>1</v>
      </c>
      <c r="I6175" s="6" t="s">
        <v>15913</v>
      </c>
      <c r="J6175" s="5">
        <v>423</v>
      </c>
    </row>
    <row r="6176" s="2" customFormat="1" spans="1:10">
      <c r="A6176" s="6">
        <f>6174</f>
        <v>6174</v>
      </c>
      <c r="B6176" s="6" t="s">
        <v>15914</v>
      </c>
      <c r="C6176" s="6" t="s">
        <v>12</v>
      </c>
      <c r="D6176" s="6" t="s">
        <v>15785</v>
      </c>
      <c r="E6176" s="6" t="s">
        <v>15912</v>
      </c>
      <c r="F6176" s="6" t="s">
        <v>15915</v>
      </c>
      <c r="G6176" s="6" t="s">
        <v>16</v>
      </c>
      <c r="H6176" s="5">
        <v>2</v>
      </c>
      <c r="I6176" s="6" t="s">
        <v>15916</v>
      </c>
      <c r="J6176" s="5">
        <v>566</v>
      </c>
    </row>
    <row r="6177" s="2" customFormat="1" spans="1:10">
      <c r="A6177" s="6">
        <f>6175</f>
        <v>6175</v>
      </c>
      <c r="B6177" s="6" t="s">
        <v>15917</v>
      </c>
      <c r="C6177" s="6" t="s">
        <v>12</v>
      </c>
      <c r="D6177" s="6" t="s">
        <v>15785</v>
      </c>
      <c r="E6177" s="6" t="s">
        <v>15912</v>
      </c>
      <c r="F6177" s="6" t="s">
        <v>15918</v>
      </c>
      <c r="G6177" s="6" t="s">
        <v>16</v>
      </c>
      <c r="H6177" s="5">
        <v>1</v>
      </c>
      <c r="I6177" s="6" t="s">
        <v>15918</v>
      </c>
      <c r="J6177" s="5">
        <v>543</v>
      </c>
    </row>
    <row r="6178" s="2" customFormat="1" spans="1:10">
      <c r="A6178" s="6">
        <f>6176</f>
        <v>6176</v>
      </c>
      <c r="B6178" s="6" t="s">
        <v>15919</v>
      </c>
      <c r="C6178" s="6" t="s">
        <v>12</v>
      </c>
      <c r="D6178" s="6" t="s">
        <v>15785</v>
      </c>
      <c r="E6178" s="6" t="s">
        <v>15912</v>
      </c>
      <c r="F6178" s="6" t="s">
        <v>15920</v>
      </c>
      <c r="G6178" s="6" t="s">
        <v>16</v>
      </c>
      <c r="H6178" s="5">
        <v>1</v>
      </c>
      <c r="I6178" s="6" t="s">
        <v>15920</v>
      </c>
      <c r="J6178" s="5">
        <v>483</v>
      </c>
    </row>
    <row r="6179" s="2" customFormat="1" spans="1:10">
      <c r="A6179" s="6">
        <f>6177</f>
        <v>6177</v>
      </c>
      <c r="B6179" s="6" t="s">
        <v>15921</v>
      </c>
      <c r="C6179" s="6" t="s">
        <v>12</v>
      </c>
      <c r="D6179" s="6" t="s">
        <v>15785</v>
      </c>
      <c r="E6179" s="6" t="s">
        <v>15912</v>
      </c>
      <c r="F6179" s="6" t="s">
        <v>15922</v>
      </c>
      <c r="G6179" s="6" t="s">
        <v>16</v>
      </c>
      <c r="H6179" s="5">
        <v>2</v>
      </c>
      <c r="I6179" s="6" t="s">
        <v>15923</v>
      </c>
      <c r="J6179" s="5">
        <v>642</v>
      </c>
    </row>
    <row r="6180" s="2" customFormat="1" spans="1:10">
      <c r="A6180" s="6">
        <f>6178</f>
        <v>6178</v>
      </c>
      <c r="B6180" s="6" t="s">
        <v>15924</v>
      </c>
      <c r="C6180" s="6" t="s">
        <v>12</v>
      </c>
      <c r="D6180" s="6" t="s">
        <v>15785</v>
      </c>
      <c r="E6180" s="6" t="s">
        <v>15912</v>
      </c>
      <c r="F6180" s="6" t="s">
        <v>15925</v>
      </c>
      <c r="G6180" s="6" t="s">
        <v>16</v>
      </c>
      <c r="H6180" s="5">
        <v>1</v>
      </c>
      <c r="I6180" s="6" t="s">
        <v>15925</v>
      </c>
      <c r="J6180" s="5">
        <v>418</v>
      </c>
    </row>
    <row r="6181" s="2" customFormat="1" spans="1:10">
      <c r="A6181" s="6">
        <f>6179</f>
        <v>6179</v>
      </c>
      <c r="B6181" s="6" t="s">
        <v>15926</v>
      </c>
      <c r="C6181" s="6" t="s">
        <v>12</v>
      </c>
      <c r="D6181" s="6" t="s">
        <v>15785</v>
      </c>
      <c r="E6181" s="6" t="s">
        <v>15912</v>
      </c>
      <c r="F6181" s="6" t="s">
        <v>15927</v>
      </c>
      <c r="G6181" s="6" t="s">
        <v>16</v>
      </c>
      <c r="H6181" s="5">
        <v>1</v>
      </c>
      <c r="I6181" s="6" t="s">
        <v>15927</v>
      </c>
      <c r="J6181" s="5">
        <v>483</v>
      </c>
    </row>
    <row r="6182" s="2" customFormat="1" spans="1:10">
      <c r="A6182" s="6">
        <f>6180</f>
        <v>6180</v>
      </c>
      <c r="B6182" s="6" t="s">
        <v>15928</v>
      </c>
      <c r="C6182" s="6" t="s">
        <v>12</v>
      </c>
      <c r="D6182" s="6" t="s">
        <v>15785</v>
      </c>
      <c r="E6182" s="6" t="s">
        <v>15912</v>
      </c>
      <c r="F6182" s="6" t="s">
        <v>15929</v>
      </c>
      <c r="G6182" s="6" t="s">
        <v>16</v>
      </c>
      <c r="H6182" s="5">
        <v>1</v>
      </c>
      <c r="I6182" s="6" t="s">
        <v>15929</v>
      </c>
      <c r="J6182" s="5">
        <v>483</v>
      </c>
    </row>
    <row r="6183" s="2" customFormat="1" spans="1:10">
      <c r="A6183" s="6">
        <f>6181</f>
        <v>6181</v>
      </c>
      <c r="B6183" s="6" t="s">
        <v>15930</v>
      </c>
      <c r="C6183" s="6" t="s">
        <v>12</v>
      </c>
      <c r="D6183" s="6" t="s">
        <v>15785</v>
      </c>
      <c r="E6183" s="6" t="s">
        <v>15912</v>
      </c>
      <c r="F6183" s="6" t="s">
        <v>15931</v>
      </c>
      <c r="G6183" s="6" t="s">
        <v>16</v>
      </c>
      <c r="H6183" s="5">
        <v>4</v>
      </c>
      <c r="I6183" s="6" t="s">
        <v>15932</v>
      </c>
      <c r="J6183" s="5">
        <v>1081</v>
      </c>
    </row>
    <row r="6184" s="2" customFormat="1" spans="1:10">
      <c r="A6184" s="6">
        <f>6182</f>
        <v>6182</v>
      </c>
      <c r="B6184" s="6" t="s">
        <v>15933</v>
      </c>
      <c r="C6184" s="6" t="s">
        <v>12</v>
      </c>
      <c r="D6184" s="6" t="s">
        <v>15785</v>
      </c>
      <c r="E6184" s="6" t="s">
        <v>15912</v>
      </c>
      <c r="F6184" s="6" t="s">
        <v>15934</v>
      </c>
      <c r="G6184" s="6" t="s">
        <v>16</v>
      </c>
      <c r="H6184" s="5">
        <v>2</v>
      </c>
      <c r="I6184" s="6" t="s">
        <v>15935</v>
      </c>
      <c r="J6184" s="5">
        <v>796</v>
      </c>
    </row>
    <row r="6185" s="2" customFormat="1" spans="1:10">
      <c r="A6185" s="6">
        <f>6183</f>
        <v>6183</v>
      </c>
      <c r="B6185" s="6" t="s">
        <v>15936</v>
      </c>
      <c r="C6185" s="6" t="s">
        <v>12</v>
      </c>
      <c r="D6185" s="6" t="s">
        <v>15785</v>
      </c>
      <c r="E6185" s="6" t="s">
        <v>15912</v>
      </c>
      <c r="F6185" s="6" t="s">
        <v>15937</v>
      </c>
      <c r="G6185" s="6" t="s">
        <v>16</v>
      </c>
      <c r="H6185" s="5">
        <v>1</v>
      </c>
      <c r="I6185" s="6" t="s">
        <v>15937</v>
      </c>
      <c r="J6185" s="5">
        <v>543</v>
      </c>
    </row>
    <row r="6186" s="2" customFormat="1" spans="1:10">
      <c r="A6186" s="6">
        <f>6184</f>
        <v>6184</v>
      </c>
      <c r="B6186" s="6" t="s">
        <v>15938</v>
      </c>
      <c r="C6186" s="6" t="s">
        <v>12</v>
      </c>
      <c r="D6186" s="6" t="s">
        <v>15785</v>
      </c>
      <c r="E6186" s="6" t="s">
        <v>15912</v>
      </c>
      <c r="F6186" s="6" t="s">
        <v>15939</v>
      </c>
      <c r="G6186" s="6" t="s">
        <v>16</v>
      </c>
      <c r="H6186" s="5">
        <v>1</v>
      </c>
      <c r="I6186" s="6" t="s">
        <v>15939</v>
      </c>
      <c r="J6186" s="5">
        <v>363</v>
      </c>
    </row>
    <row r="6187" s="2" customFormat="1" spans="1:10">
      <c r="A6187" s="6">
        <f>6185</f>
        <v>6185</v>
      </c>
      <c r="B6187" s="6" t="s">
        <v>15940</v>
      </c>
      <c r="C6187" s="6" t="s">
        <v>12</v>
      </c>
      <c r="D6187" s="6" t="s">
        <v>15785</v>
      </c>
      <c r="E6187" s="6" t="s">
        <v>15912</v>
      </c>
      <c r="F6187" s="6" t="s">
        <v>15941</v>
      </c>
      <c r="G6187" s="6" t="s">
        <v>16</v>
      </c>
      <c r="H6187" s="5">
        <v>2</v>
      </c>
      <c r="I6187" s="6" t="s">
        <v>15942</v>
      </c>
      <c r="J6187" s="5">
        <v>946</v>
      </c>
    </row>
    <row r="6188" s="2" customFormat="1" spans="1:10">
      <c r="A6188" s="6">
        <f>6186</f>
        <v>6186</v>
      </c>
      <c r="B6188" s="6" t="s">
        <v>15943</v>
      </c>
      <c r="C6188" s="6" t="s">
        <v>12</v>
      </c>
      <c r="D6188" s="6" t="s">
        <v>15785</v>
      </c>
      <c r="E6188" s="6" t="s">
        <v>15912</v>
      </c>
      <c r="F6188" s="6" t="s">
        <v>15944</v>
      </c>
      <c r="G6188" s="6" t="s">
        <v>16</v>
      </c>
      <c r="H6188" s="5">
        <v>3</v>
      </c>
      <c r="I6188" s="6" t="s">
        <v>15945</v>
      </c>
      <c r="J6188" s="5">
        <v>1309</v>
      </c>
    </row>
    <row r="6189" s="2" customFormat="1" spans="1:10">
      <c r="A6189" s="6">
        <f>6187</f>
        <v>6187</v>
      </c>
      <c r="B6189" s="6" t="s">
        <v>15946</v>
      </c>
      <c r="C6189" s="6" t="s">
        <v>12</v>
      </c>
      <c r="D6189" s="6" t="s">
        <v>15785</v>
      </c>
      <c r="E6189" s="6" t="s">
        <v>15912</v>
      </c>
      <c r="F6189" s="6" t="s">
        <v>15947</v>
      </c>
      <c r="G6189" s="6" t="s">
        <v>16</v>
      </c>
      <c r="H6189" s="5">
        <v>1</v>
      </c>
      <c r="I6189" s="6" t="s">
        <v>15947</v>
      </c>
      <c r="J6189" s="5">
        <v>388</v>
      </c>
    </row>
    <row r="6190" s="2" customFormat="1" spans="1:10">
      <c r="A6190" s="6">
        <f>6188</f>
        <v>6188</v>
      </c>
      <c r="B6190" s="6" t="s">
        <v>15948</v>
      </c>
      <c r="C6190" s="6" t="s">
        <v>12</v>
      </c>
      <c r="D6190" s="6" t="s">
        <v>15785</v>
      </c>
      <c r="E6190" s="6" t="s">
        <v>15912</v>
      </c>
      <c r="F6190" s="6" t="s">
        <v>15949</v>
      </c>
      <c r="G6190" s="6" t="s">
        <v>16</v>
      </c>
      <c r="H6190" s="5">
        <v>1</v>
      </c>
      <c r="I6190" s="6" t="s">
        <v>15949</v>
      </c>
      <c r="J6190" s="5">
        <v>538</v>
      </c>
    </row>
    <row r="6191" s="2" customFormat="1" spans="1:10">
      <c r="A6191" s="6">
        <f>6189</f>
        <v>6189</v>
      </c>
      <c r="B6191" s="6" t="s">
        <v>15950</v>
      </c>
      <c r="C6191" s="6" t="s">
        <v>12</v>
      </c>
      <c r="D6191" s="6" t="s">
        <v>15785</v>
      </c>
      <c r="E6191" s="6" t="s">
        <v>15912</v>
      </c>
      <c r="F6191" s="6" t="s">
        <v>15951</v>
      </c>
      <c r="G6191" s="6" t="s">
        <v>16</v>
      </c>
      <c r="H6191" s="5">
        <v>1</v>
      </c>
      <c r="I6191" s="6" t="s">
        <v>15951</v>
      </c>
      <c r="J6191" s="5">
        <v>543</v>
      </c>
    </row>
    <row r="6192" s="2" customFormat="1" spans="1:10">
      <c r="A6192" s="6">
        <f>6190</f>
        <v>6190</v>
      </c>
      <c r="B6192" s="6" t="s">
        <v>15952</v>
      </c>
      <c r="C6192" s="6" t="s">
        <v>12</v>
      </c>
      <c r="D6192" s="6" t="s">
        <v>15785</v>
      </c>
      <c r="E6192" s="6" t="s">
        <v>15912</v>
      </c>
      <c r="F6192" s="6" t="s">
        <v>15953</v>
      </c>
      <c r="G6192" s="6" t="s">
        <v>16</v>
      </c>
      <c r="H6192" s="5">
        <v>2</v>
      </c>
      <c r="I6192" s="6" t="s">
        <v>15954</v>
      </c>
      <c r="J6192" s="5">
        <v>461</v>
      </c>
    </row>
    <row r="6193" s="2" customFormat="1" spans="1:10">
      <c r="A6193" s="6">
        <f>6191</f>
        <v>6191</v>
      </c>
      <c r="B6193" s="6" t="s">
        <v>15955</v>
      </c>
      <c r="C6193" s="6" t="s">
        <v>12</v>
      </c>
      <c r="D6193" s="6" t="s">
        <v>15785</v>
      </c>
      <c r="E6193" s="6" t="s">
        <v>15912</v>
      </c>
      <c r="F6193" s="6" t="s">
        <v>8213</v>
      </c>
      <c r="G6193" s="6" t="s">
        <v>16</v>
      </c>
      <c r="H6193" s="5">
        <v>3</v>
      </c>
      <c r="I6193" s="6" t="s">
        <v>15956</v>
      </c>
      <c r="J6193" s="5">
        <v>1024</v>
      </c>
    </row>
    <row r="6194" s="2" customFormat="1" spans="1:10">
      <c r="A6194" s="6">
        <f>6192</f>
        <v>6192</v>
      </c>
      <c r="B6194" s="6" t="s">
        <v>15957</v>
      </c>
      <c r="C6194" s="6" t="s">
        <v>12</v>
      </c>
      <c r="D6194" s="6" t="s">
        <v>15785</v>
      </c>
      <c r="E6194" s="6" t="s">
        <v>15912</v>
      </c>
      <c r="F6194" s="6" t="s">
        <v>15958</v>
      </c>
      <c r="G6194" s="6" t="s">
        <v>16</v>
      </c>
      <c r="H6194" s="5">
        <v>1</v>
      </c>
      <c r="I6194" s="6" t="s">
        <v>15958</v>
      </c>
      <c r="J6194" s="5">
        <v>423</v>
      </c>
    </row>
    <row r="6195" s="2" customFormat="1" spans="1:10">
      <c r="A6195" s="6">
        <f>6193</f>
        <v>6193</v>
      </c>
      <c r="B6195" s="6" t="s">
        <v>15959</v>
      </c>
      <c r="C6195" s="6" t="s">
        <v>12</v>
      </c>
      <c r="D6195" s="6" t="s">
        <v>15785</v>
      </c>
      <c r="E6195" s="6" t="s">
        <v>15912</v>
      </c>
      <c r="F6195" s="6" t="s">
        <v>15960</v>
      </c>
      <c r="G6195" s="6" t="s">
        <v>16</v>
      </c>
      <c r="H6195" s="5">
        <v>1</v>
      </c>
      <c r="I6195" s="6" t="s">
        <v>15960</v>
      </c>
      <c r="J6195" s="5">
        <v>396</v>
      </c>
    </row>
    <row r="6196" s="2" customFormat="1" spans="1:10">
      <c r="A6196" s="6">
        <f>6194</f>
        <v>6194</v>
      </c>
      <c r="B6196" s="6" t="s">
        <v>15961</v>
      </c>
      <c r="C6196" s="6" t="s">
        <v>12</v>
      </c>
      <c r="D6196" s="6" t="s">
        <v>15785</v>
      </c>
      <c r="E6196" s="6" t="s">
        <v>15912</v>
      </c>
      <c r="F6196" s="6" t="s">
        <v>15962</v>
      </c>
      <c r="G6196" s="6" t="s">
        <v>16</v>
      </c>
      <c r="H6196" s="5">
        <v>1</v>
      </c>
      <c r="I6196" s="6" t="s">
        <v>15962</v>
      </c>
      <c r="J6196" s="5">
        <v>473</v>
      </c>
    </row>
    <row r="6197" s="2" customFormat="1" spans="1:10">
      <c r="A6197" s="6">
        <f>6195</f>
        <v>6195</v>
      </c>
      <c r="B6197" s="6" t="s">
        <v>15963</v>
      </c>
      <c r="C6197" s="6" t="s">
        <v>12</v>
      </c>
      <c r="D6197" s="6" t="s">
        <v>15785</v>
      </c>
      <c r="E6197" s="6" t="s">
        <v>15912</v>
      </c>
      <c r="F6197" s="6" t="s">
        <v>15964</v>
      </c>
      <c r="G6197" s="6" t="s">
        <v>16</v>
      </c>
      <c r="H6197" s="5">
        <v>1</v>
      </c>
      <c r="I6197" s="6" t="s">
        <v>15964</v>
      </c>
      <c r="J6197" s="5">
        <v>388</v>
      </c>
    </row>
    <row r="6198" s="2" customFormat="1" spans="1:10">
      <c r="A6198" s="6">
        <f>6196</f>
        <v>6196</v>
      </c>
      <c r="B6198" s="6" t="s">
        <v>15965</v>
      </c>
      <c r="C6198" s="6" t="s">
        <v>12</v>
      </c>
      <c r="D6198" s="6" t="s">
        <v>15785</v>
      </c>
      <c r="E6198" s="6" t="s">
        <v>15912</v>
      </c>
      <c r="F6198" s="6" t="s">
        <v>15966</v>
      </c>
      <c r="G6198" s="6" t="s">
        <v>16</v>
      </c>
      <c r="H6198" s="5">
        <v>1</v>
      </c>
      <c r="I6198" s="6" t="s">
        <v>15966</v>
      </c>
      <c r="J6198" s="5">
        <v>273</v>
      </c>
    </row>
    <row r="6199" s="2" customFormat="1" spans="1:10">
      <c r="A6199" s="6">
        <f>6197</f>
        <v>6197</v>
      </c>
      <c r="B6199" s="6" t="s">
        <v>15967</v>
      </c>
      <c r="C6199" s="6" t="s">
        <v>12</v>
      </c>
      <c r="D6199" s="6" t="s">
        <v>15785</v>
      </c>
      <c r="E6199" s="6" t="s">
        <v>15912</v>
      </c>
      <c r="F6199" s="6" t="s">
        <v>15968</v>
      </c>
      <c r="G6199" s="6" t="s">
        <v>16</v>
      </c>
      <c r="H6199" s="5">
        <v>1</v>
      </c>
      <c r="I6199" s="6" t="s">
        <v>15968</v>
      </c>
      <c r="J6199" s="5">
        <v>268</v>
      </c>
    </row>
    <row r="6200" s="2" customFormat="1" spans="1:10">
      <c r="A6200" s="6">
        <f>6198</f>
        <v>6198</v>
      </c>
      <c r="B6200" s="6" t="s">
        <v>15969</v>
      </c>
      <c r="C6200" s="6" t="s">
        <v>12</v>
      </c>
      <c r="D6200" s="6" t="s">
        <v>15785</v>
      </c>
      <c r="E6200" s="6" t="s">
        <v>15912</v>
      </c>
      <c r="F6200" s="6" t="s">
        <v>15970</v>
      </c>
      <c r="G6200" s="6" t="s">
        <v>16</v>
      </c>
      <c r="H6200" s="5">
        <v>2</v>
      </c>
      <c r="I6200" s="6" t="s">
        <v>15971</v>
      </c>
      <c r="J6200" s="5">
        <v>730</v>
      </c>
    </row>
    <row r="6201" s="2" customFormat="1" spans="1:10">
      <c r="A6201" s="6">
        <f>6199</f>
        <v>6199</v>
      </c>
      <c r="B6201" s="6" t="s">
        <v>15972</v>
      </c>
      <c r="C6201" s="6" t="s">
        <v>12</v>
      </c>
      <c r="D6201" s="6" t="s">
        <v>15785</v>
      </c>
      <c r="E6201" s="6" t="s">
        <v>15912</v>
      </c>
      <c r="F6201" s="6" t="s">
        <v>15973</v>
      </c>
      <c r="G6201" s="6" t="s">
        <v>16</v>
      </c>
      <c r="H6201" s="5">
        <v>2</v>
      </c>
      <c r="I6201" s="6" t="s">
        <v>15974</v>
      </c>
      <c r="J6201" s="5">
        <v>721</v>
      </c>
    </row>
    <row r="6202" s="2" customFormat="1" spans="1:10">
      <c r="A6202" s="6">
        <f>6200</f>
        <v>6200</v>
      </c>
      <c r="B6202" s="6" t="s">
        <v>15975</v>
      </c>
      <c r="C6202" s="6" t="s">
        <v>12</v>
      </c>
      <c r="D6202" s="6" t="s">
        <v>15785</v>
      </c>
      <c r="E6202" s="6" t="s">
        <v>15912</v>
      </c>
      <c r="F6202" s="6" t="s">
        <v>15976</v>
      </c>
      <c r="G6202" s="6" t="s">
        <v>16</v>
      </c>
      <c r="H6202" s="5">
        <v>3</v>
      </c>
      <c r="I6202" s="6" t="s">
        <v>15977</v>
      </c>
      <c r="J6202" s="5">
        <v>1179</v>
      </c>
    </row>
    <row r="6203" s="2" customFormat="1" spans="1:10">
      <c r="A6203" s="6">
        <f>6201</f>
        <v>6201</v>
      </c>
      <c r="B6203" s="6" t="s">
        <v>15978</v>
      </c>
      <c r="C6203" s="6" t="s">
        <v>12</v>
      </c>
      <c r="D6203" s="6" t="s">
        <v>15785</v>
      </c>
      <c r="E6203" s="6" t="s">
        <v>15912</v>
      </c>
      <c r="F6203" s="6" t="s">
        <v>15979</v>
      </c>
      <c r="G6203" s="6" t="s">
        <v>16</v>
      </c>
      <c r="H6203" s="5">
        <v>1</v>
      </c>
      <c r="I6203" s="6" t="s">
        <v>15979</v>
      </c>
      <c r="J6203" s="5">
        <v>538</v>
      </c>
    </row>
    <row r="6204" s="2" customFormat="1" spans="1:10">
      <c r="A6204" s="6">
        <f>6202</f>
        <v>6202</v>
      </c>
      <c r="B6204" s="6" t="s">
        <v>15980</v>
      </c>
      <c r="C6204" s="6" t="s">
        <v>12</v>
      </c>
      <c r="D6204" s="6" t="s">
        <v>15785</v>
      </c>
      <c r="E6204" s="6" t="s">
        <v>15981</v>
      </c>
      <c r="F6204" s="6" t="s">
        <v>15982</v>
      </c>
      <c r="G6204" s="6" t="s">
        <v>16</v>
      </c>
      <c r="H6204" s="5">
        <v>2</v>
      </c>
      <c r="I6204" s="6" t="s">
        <v>15983</v>
      </c>
      <c r="J6204" s="5">
        <v>436</v>
      </c>
    </row>
    <row r="6205" s="2" customFormat="1" spans="1:10">
      <c r="A6205" s="6">
        <f>6203</f>
        <v>6203</v>
      </c>
      <c r="B6205" s="6" t="s">
        <v>15984</v>
      </c>
      <c r="C6205" s="6" t="s">
        <v>12</v>
      </c>
      <c r="D6205" s="6" t="s">
        <v>15785</v>
      </c>
      <c r="E6205" s="6" t="s">
        <v>15981</v>
      </c>
      <c r="F6205" s="6" t="s">
        <v>15985</v>
      </c>
      <c r="G6205" s="6" t="s">
        <v>16</v>
      </c>
      <c r="H6205" s="5">
        <v>1</v>
      </c>
      <c r="I6205" s="6" t="s">
        <v>15985</v>
      </c>
      <c r="J6205" s="5">
        <v>420</v>
      </c>
    </row>
    <row r="6206" s="2" customFormat="1" spans="1:10">
      <c r="A6206" s="6">
        <f>6204</f>
        <v>6204</v>
      </c>
      <c r="B6206" s="6" t="s">
        <v>15986</v>
      </c>
      <c r="C6206" s="6" t="s">
        <v>12</v>
      </c>
      <c r="D6206" s="6" t="s">
        <v>15785</v>
      </c>
      <c r="E6206" s="6" t="s">
        <v>15981</v>
      </c>
      <c r="F6206" s="6" t="s">
        <v>15987</v>
      </c>
      <c r="G6206" s="6" t="s">
        <v>16</v>
      </c>
      <c r="H6206" s="5">
        <v>2</v>
      </c>
      <c r="I6206" s="6" t="s">
        <v>15988</v>
      </c>
      <c r="J6206" s="5">
        <v>980</v>
      </c>
    </row>
    <row r="6207" s="2" customFormat="1" spans="1:10">
      <c r="A6207" s="6">
        <f>6205</f>
        <v>6205</v>
      </c>
      <c r="B6207" s="6" t="s">
        <v>15989</v>
      </c>
      <c r="C6207" s="6" t="s">
        <v>12</v>
      </c>
      <c r="D6207" s="6" t="s">
        <v>15785</v>
      </c>
      <c r="E6207" s="6" t="s">
        <v>15981</v>
      </c>
      <c r="F6207" s="6" t="s">
        <v>15990</v>
      </c>
      <c r="G6207" s="6" t="s">
        <v>16</v>
      </c>
      <c r="H6207" s="5">
        <v>2</v>
      </c>
      <c r="I6207" s="6" t="s">
        <v>15991</v>
      </c>
      <c r="J6207" s="5">
        <v>680</v>
      </c>
    </row>
    <row r="6208" s="2" customFormat="1" ht="27" spans="1:10">
      <c r="A6208" s="6">
        <f>6206</f>
        <v>6206</v>
      </c>
      <c r="B6208" s="6" t="s">
        <v>15992</v>
      </c>
      <c r="C6208" s="6" t="s">
        <v>12</v>
      </c>
      <c r="D6208" s="6" t="s">
        <v>15785</v>
      </c>
      <c r="E6208" s="6" t="s">
        <v>15981</v>
      </c>
      <c r="F6208" s="6" t="s">
        <v>15993</v>
      </c>
      <c r="G6208" s="6" t="s">
        <v>16</v>
      </c>
      <c r="H6208" s="5">
        <v>5</v>
      </c>
      <c r="I6208" s="6" t="s">
        <v>15994</v>
      </c>
      <c r="J6208" s="5">
        <v>1200</v>
      </c>
    </row>
    <row r="6209" s="2" customFormat="1" spans="1:10">
      <c r="A6209" s="6">
        <f>6207</f>
        <v>6207</v>
      </c>
      <c r="B6209" s="6" t="s">
        <v>15995</v>
      </c>
      <c r="C6209" s="6" t="s">
        <v>12</v>
      </c>
      <c r="D6209" s="6" t="s">
        <v>15785</v>
      </c>
      <c r="E6209" s="6" t="s">
        <v>15981</v>
      </c>
      <c r="F6209" s="6" t="s">
        <v>15996</v>
      </c>
      <c r="G6209" s="6" t="s">
        <v>16</v>
      </c>
      <c r="H6209" s="5">
        <v>1</v>
      </c>
      <c r="I6209" s="6" t="s">
        <v>15996</v>
      </c>
      <c r="J6209" s="5">
        <v>620</v>
      </c>
    </row>
    <row r="6210" s="2" customFormat="1" spans="1:10">
      <c r="A6210" s="6">
        <f>6208</f>
        <v>6208</v>
      </c>
      <c r="B6210" s="6" t="s">
        <v>15997</v>
      </c>
      <c r="C6210" s="6" t="s">
        <v>12</v>
      </c>
      <c r="D6210" s="6" t="s">
        <v>15785</v>
      </c>
      <c r="E6210" s="6" t="s">
        <v>15981</v>
      </c>
      <c r="F6210" s="6" t="s">
        <v>15998</v>
      </c>
      <c r="G6210" s="6" t="s">
        <v>16</v>
      </c>
      <c r="H6210" s="5">
        <v>3</v>
      </c>
      <c r="I6210" s="6" t="s">
        <v>15999</v>
      </c>
      <c r="J6210" s="5">
        <v>617</v>
      </c>
    </row>
    <row r="6211" s="2" customFormat="1" spans="1:10">
      <c r="A6211" s="6">
        <f>6209</f>
        <v>6209</v>
      </c>
      <c r="B6211" s="6" t="s">
        <v>16000</v>
      </c>
      <c r="C6211" s="6" t="s">
        <v>12</v>
      </c>
      <c r="D6211" s="6" t="s">
        <v>15785</v>
      </c>
      <c r="E6211" s="6" t="s">
        <v>15981</v>
      </c>
      <c r="F6211" s="6" t="s">
        <v>16001</v>
      </c>
      <c r="G6211" s="6" t="s">
        <v>16</v>
      </c>
      <c r="H6211" s="5">
        <v>1</v>
      </c>
      <c r="I6211" s="6" t="s">
        <v>16001</v>
      </c>
      <c r="J6211" s="5">
        <v>620</v>
      </c>
    </row>
    <row r="6212" s="2" customFormat="1" spans="1:10">
      <c r="A6212" s="6">
        <f>6210</f>
        <v>6210</v>
      </c>
      <c r="B6212" s="6" t="s">
        <v>16002</v>
      </c>
      <c r="C6212" s="6" t="s">
        <v>12</v>
      </c>
      <c r="D6212" s="6" t="s">
        <v>15785</v>
      </c>
      <c r="E6212" s="6" t="s">
        <v>15981</v>
      </c>
      <c r="F6212" s="6" t="s">
        <v>16003</v>
      </c>
      <c r="G6212" s="6" t="s">
        <v>16</v>
      </c>
      <c r="H6212" s="5">
        <v>2</v>
      </c>
      <c r="I6212" s="6" t="s">
        <v>16004</v>
      </c>
      <c r="J6212" s="5">
        <v>926</v>
      </c>
    </row>
    <row r="6213" s="2" customFormat="1" spans="1:10">
      <c r="A6213" s="6">
        <f>6211</f>
        <v>6211</v>
      </c>
      <c r="B6213" s="6" t="s">
        <v>16005</v>
      </c>
      <c r="C6213" s="6" t="s">
        <v>12</v>
      </c>
      <c r="D6213" s="6" t="s">
        <v>15785</v>
      </c>
      <c r="E6213" s="6" t="s">
        <v>16006</v>
      </c>
      <c r="F6213" s="6" t="s">
        <v>16007</v>
      </c>
      <c r="G6213" s="6" t="s">
        <v>16</v>
      </c>
      <c r="H6213" s="5">
        <v>1</v>
      </c>
      <c r="I6213" s="6" t="s">
        <v>16007</v>
      </c>
      <c r="J6213" s="5">
        <v>388</v>
      </c>
    </row>
    <row r="6214" s="2" customFormat="1" spans="1:10">
      <c r="A6214" s="6">
        <f>6212</f>
        <v>6212</v>
      </c>
      <c r="B6214" s="6" t="s">
        <v>16008</v>
      </c>
      <c r="C6214" s="6" t="s">
        <v>12</v>
      </c>
      <c r="D6214" s="6" t="s">
        <v>15785</v>
      </c>
      <c r="E6214" s="6" t="s">
        <v>16006</v>
      </c>
      <c r="F6214" s="6" t="s">
        <v>16009</v>
      </c>
      <c r="G6214" s="6" t="s">
        <v>16</v>
      </c>
      <c r="H6214" s="5">
        <v>1</v>
      </c>
      <c r="I6214" s="6" t="s">
        <v>16009</v>
      </c>
      <c r="J6214" s="5">
        <v>563</v>
      </c>
    </row>
    <row r="6215" s="2" customFormat="1" spans="1:10">
      <c r="A6215" s="6">
        <f>6213</f>
        <v>6213</v>
      </c>
      <c r="B6215" s="6" t="s">
        <v>16010</v>
      </c>
      <c r="C6215" s="6" t="s">
        <v>12</v>
      </c>
      <c r="D6215" s="6" t="s">
        <v>15785</v>
      </c>
      <c r="E6215" s="6" t="s">
        <v>16006</v>
      </c>
      <c r="F6215" s="6" t="s">
        <v>16011</v>
      </c>
      <c r="G6215" s="6" t="s">
        <v>16</v>
      </c>
      <c r="H6215" s="5">
        <v>1</v>
      </c>
      <c r="I6215" s="6" t="s">
        <v>16011</v>
      </c>
      <c r="J6215" s="5">
        <v>500</v>
      </c>
    </row>
    <row r="6216" s="2" customFormat="1" spans="1:10">
      <c r="A6216" s="6">
        <f>6214</f>
        <v>6214</v>
      </c>
      <c r="B6216" s="6" t="s">
        <v>16012</v>
      </c>
      <c r="C6216" s="6" t="s">
        <v>12</v>
      </c>
      <c r="D6216" s="6" t="s">
        <v>15785</v>
      </c>
      <c r="E6216" s="6" t="s">
        <v>16006</v>
      </c>
      <c r="F6216" s="6" t="s">
        <v>16013</v>
      </c>
      <c r="G6216" s="6" t="s">
        <v>16</v>
      </c>
      <c r="H6216" s="5">
        <v>2</v>
      </c>
      <c r="I6216" s="6" t="s">
        <v>16014</v>
      </c>
      <c r="J6216" s="5">
        <v>776</v>
      </c>
    </row>
    <row r="6217" s="2" customFormat="1" spans="1:10">
      <c r="A6217" s="6">
        <f>6215</f>
        <v>6215</v>
      </c>
      <c r="B6217" s="6" t="s">
        <v>16015</v>
      </c>
      <c r="C6217" s="6" t="s">
        <v>12</v>
      </c>
      <c r="D6217" s="6" t="s">
        <v>15785</v>
      </c>
      <c r="E6217" s="6" t="s">
        <v>16006</v>
      </c>
      <c r="F6217" s="6" t="s">
        <v>16016</v>
      </c>
      <c r="G6217" s="6" t="s">
        <v>16</v>
      </c>
      <c r="H6217" s="5">
        <v>2</v>
      </c>
      <c r="I6217" s="6" t="s">
        <v>16017</v>
      </c>
      <c r="J6217" s="5">
        <v>930</v>
      </c>
    </row>
    <row r="6218" s="2" customFormat="1" spans="1:10">
      <c r="A6218" s="6">
        <f>6216</f>
        <v>6216</v>
      </c>
      <c r="B6218" s="6" t="s">
        <v>16018</v>
      </c>
      <c r="C6218" s="6" t="s">
        <v>12</v>
      </c>
      <c r="D6218" s="6" t="s">
        <v>15785</v>
      </c>
      <c r="E6218" s="6" t="s">
        <v>16006</v>
      </c>
      <c r="F6218" s="6" t="s">
        <v>16019</v>
      </c>
      <c r="G6218" s="6" t="s">
        <v>16</v>
      </c>
      <c r="H6218" s="5">
        <v>1</v>
      </c>
      <c r="I6218" s="6" t="s">
        <v>16019</v>
      </c>
      <c r="J6218" s="5">
        <v>620</v>
      </c>
    </row>
    <row r="6219" s="2" customFormat="1" spans="1:10">
      <c r="A6219" s="6">
        <f>6217</f>
        <v>6217</v>
      </c>
      <c r="B6219" s="6" t="s">
        <v>16020</v>
      </c>
      <c r="C6219" s="6" t="s">
        <v>12</v>
      </c>
      <c r="D6219" s="6" t="s">
        <v>15785</v>
      </c>
      <c r="E6219" s="6" t="s">
        <v>16006</v>
      </c>
      <c r="F6219" s="6" t="s">
        <v>16021</v>
      </c>
      <c r="G6219" s="6" t="s">
        <v>16</v>
      </c>
      <c r="H6219" s="5">
        <v>2</v>
      </c>
      <c r="I6219" s="6" t="s">
        <v>16022</v>
      </c>
      <c r="J6219" s="5">
        <v>1036</v>
      </c>
    </row>
    <row r="6220" s="2" customFormat="1" spans="1:10">
      <c r="A6220" s="6">
        <f>6218</f>
        <v>6218</v>
      </c>
      <c r="B6220" s="6" t="s">
        <v>16023</v>
      </c>
      <c r="C6220" s="6" t="s">
        <v>12</v>
      </c>
      <c r="D6220" s="6" t="s">
        <v>15785</v>
      </c>
      <c r="E6220" s="6" t="s">
        <v>16006</v>
      </c>
      <c r="F6220" s="6" t="s">
        <v>16024</v>
      </c>
      <c r="G6220" s="6" t="s">
        <v>16</v>
      </c>
      <c r="H6220" s="5">
        <v>1</v>
      </c>
      <c r="I6220" s="6" t="s">
        <v>16024</v>
      </c>
      <c r="J6220" s="5">
        <v>547</v>
      </c>
    </row>
    <row r="6221" s="2" customFormat="1" spans="1:10">
      <c r="A6221" s="6">
        <f>6219</f>
        <v>6219</v>
      </c>
      <c r="B6221" s="6" t="s">
        <v>16025</v>
      </c>
      <c r="C6221" s="6" t="s">
        <v>12</v>
      </c>
      <c r="D6221" s="6" t="s">
        <v>15785</v>
      </c>
      <c r="E6221" s="6" t="s">
        <v>16006</v>
      </c>
      <c r="F6221" s="6" t="s">
        <v>16026</v>
      </c>
      <c r="G6221" s="6" t="s">
        <v>16</v>
      </c>
      <c r="H6221" s="5">
        <v>2</v>
      </c>
      <c r="I6221" s="6" t="s">
        <v>16027</v>
      </c>
      <c r="J6221" s="5">
        <v>796</v>
      </c>
    </row>
    <row r="6222" s="2" customFormat="1" ht="27" spans="1:10">
      <c r="A6222" s="6">
        <f>6220</f>
        <v>6220</v>
      </c>
      <c r="B6222" s="6" t="s">
        <v>16028</v>
      </c>
      <c r="C6222" s="6" t="s">
        <v>12</v>
      </c>
      <c r="D6222" s="6" t="s">
        <v>15785</v>
      </c>
      <c r="E6222" s="6" t="s">
        <v>16006</v>
      </c>
      <c r="F6222" s="6" t="s">
        <v>16029</v>
      </c>
      <c r="G6222" s="6" t="s">
        <v>16</v>
      </c>
      <c r="H6222" s="5">
        <v>4</v>
      </c>
      <c r="I6222" s="6" t="s">
        <v>16030</v>
      </c>
      <c r="J6222" s="5">
        <v>752</v>
      </c>
    </row>
    <row r="6223" s="2" customFormat="1" spans="1:10">
      <c r="A6223" s="6">
        <f>6221</f>
        <v>6221</v>
      </c>
      <c r="B6223" s="6" t="s">
        <v>16031</v>
      </c>
      <c r="C6223" s="6" t="s">
        <v>12</v>
      </c>
      <c r="D6223" s="6" t="s">
        <v>15785</v>
      </c>
      <c r="E6223" s="6" t="s">
        <v>16006</v>
      </c>
      <c r="F6223" s="6" t="s">
        <v>11327</v>
      </c>
      <c r="G6223" s="6" t="s">
        <v>16</v>
      </c>
      <c r="H6223" s="5">
        <v>1</v>
      </c>
      <c r="I6223" s="6" t="s">
        <v>11327</v>
      </c>
      <c r="J6223" s="5">
        <v>320</v>
      </c>
    </row>
    <row r="6224" s="2" customFormat="1" spans="1:10">
      <c r="A6224" s="6">
        <f>6222</f>
        <v>6222</v>
      </c>
      <c r="B6224" s="6" t="s">
        <v>16032</v>
      </c>
      <c r="C6224" s="6" t="s">
        <v>12</v>
      </c>
      <c r="D6224" s="6" t="s">
        <v>15785</v>
      </c>
      <c r="E6224" s="6" t="s">
        <v>16006</v>
      </c>
      <c r="F6224" s="6" t="s">
        <v>16033</v>
      </c>
      <c r="G6224" s="6" t="s">
        <v>16</v>
      </c>
      <c r="H6224" s="5">
        <v>1</v>
      </c>
      <c r="I6224" s="6" t="s">
        <v>16033</v>
      </c>
      <c r="J6224" s="5">
        <v>300</v>
      </c>
    </row>
    <row r="6225" s="2" customFormat="1" ht="40.5" spans="1:10">
      <c r="A6225" s="6">
        <f>6223</f>
        <v>6223</v>
      </c>
      <c r="B6225" s="6" t="s">
        <v>16034</v>
      </c>
      <c r="C6225" s="6" t="s">
        <v>12</v>
      </c>
      <c r="D6225" s="6" t="s">
        <v>15785</v>
      </c>
      <c r="E6225" s="6" t="s">
        <v>16006</v>
      </c>
      <c r="F6225" s="6" t="s">
        <v>16035</v>
      </c>
      <c r="G6225" s="6" t="s">
        <v>16</v>
      </c>
      <c r="H6225" s="5">
        <v>7</v>
      </c>
      <c r="I6225" s="6" t="s">
        <v>16036</v>
      </c>
      <c r="J6225" s="5">
        <v>1105</v>
      </c>
    </row>
    <row r="6226" s="2" customFormat="1" spans="1:10">
      <c r="A6226" s="6">
        <f>6224</f>
        <v>6224</v>
      </c>
      <c r="B6226" s="6" t="s">
        <v>16037</v>
      </c>
      <c r="C6226" s="6" t="s">
        <v>12</v>
      </c>
      <c r="D6226" s="6" t="s">
        <v>15785</v>
      </c>
      <c r="E6226" s="6" t="s">
        <v>16006</v>
      </c>
      <c r="F6226" s="6" t="s">
        <v>16038</v>
      </c>
      <c r="G6226" s="6" t="s">
        <v>16</v>
      </c>
      <c r="H6226" s="5">
        <v>1</v>
      </c>
      <c r="I6226" s="6" t="s">
        <v>16038</v>
      </c>
      <c r="J6226" s="5">
        <v>463</v>
      </c>
    </row>
    <row r="6227" s="2" customFormat="1" ht="27" spans="1:10">
      <c r="A6227" s="6">
        <f>6225</f>
        <v>6225</v>
      </c>
      <c r="B6227" s="6" t="s">
        <v>16039</v>
      </c>
      <c r="C6227" s="6" t="s">
        <v>12</v>
      </c>
      <c r="D6227" s="6" t="s">
        <v>15785</v>
      </c>
      <c r="E6227" s="6" t="s">
        <v>16006</v>
      </c>
      <c r="F6227" s="6" t="s">
        <v>16040</v>
      </c>
      <c r="G6227" s="6" t="s">
        <v>16</v>
      </c>
      <c r="H6227" s="5">
        <v>4</v>
      </c>
      <c r="I6227" s="6" t="s">
        <v>16041</v>
      </c>
      <c r="J6227" s="5">
        <v>1152</v>
      </c>
    </row>
    <row r="6228" s="2" customFormat="1" spans="1:10">
      <c r="A6228" s="6">
        <f>6226</f>
        <v>6226</v>
      </c>
      <c r="B6228" s="6" t="s">
        <v>16042</v>
      </c>
      <c r="C6228" s="6" t="s">
        <v>12</v>
      </c>
      <c r="D6228" s="6" t="s">
        <v>15785</v>
      </c>
      <c r="E6228" s="6" t="s">
        <v>16006</v>
      </c>
      <c r="F6228" s="6" t="s">
        <v>16043</v>
      </c>
      <c r="G6228" s="6" t="s">
        <v>16</v>
      </c>
      <c r="H6228" s="5">
        <v>2</v>
      </c>
      <c r="I6228" s="6" t="s">
        <v>16044</v>
      </c>
      <c r="J6228" s="5">
        <v>956</v>
      </c>
    </row>
    <row r="6229" s="2" customFormat="1" spans="1:10">
      <c r="A6229" s="6">
        <f>6227</f>
        <v>6227</v>
      </c>
      <c r="B6229" s="6" t="s">
        <v>16045</v>
      </c>
      <c r="C6229" s="6" t="s">
        <v>12</v>
      </c>
      <c r="D6229" s="6" t="s">
        <v>15785</v>
      </c>
      <c r="E6229" s="6" t="s">
        <v>16006</v>
      </c>
      <c r="F6229" s="6" t="s">
        <v>16046</v>
      </c>
      <c r="G6229" s="6" t="s">
        <v>16</v>
      </c>
      <c r="H6229" s="5">
        <v>3</v>
      </c>
      <c r="I6229" s="6" t="s">
        <v>16047</v>
      </c>
      <c r="J6229" s="5">
        <v>456</v>
      </c>
    </row>
    <row r="6230" s="2" customFormat="1" spans="1:10">
      <c r="A6230" s="6">
        <f>6228</f>
        <v>6228</v>
      </c>
      <c r="B6230" s="6" t="s">
        <v>16048</v>
      </c>
      <c r="C6230" s="6" t="s">
        <v>12</v>
      </c>
      <c r="D6230" s="6" t="s">
        <v>15785</v>
      </c>
      <c r="E6230" s="6" t="s">
        <v>16006</v>
      </c>
      <c r="F6230" s="6" t="s">
        <v>16049</v>
      </c>
      <c r="G6230" s="6" t="s">
        <v>16</v>
      </c>
      <c r="H6230" s="5">
        <v>1</v>
      </c>
      <c r="I6230" s="6" t="s">
        <v>16049</v>
      </c>
      <c r="J6230" s="5">
        <v>448</v>
      </c>
    </row>
    <row r="6231" s="2" customFormat="1" spans="1:10">
      <c r="A6231" s="6">
        <f>6229</f>
        <v>6229</v>
      </c>
      <c r="B6231" s="6" t="s">
        <v>16050</v>
      </c>
      <c r="C6231" s="6" t="s">
        <v>12</v>
      </c>
      <c r="D6231" s="6" t="s">
        <v>15785</v>
      </c>
      <c r="E6231" s="6" t="s">
        <v>16006</v>
      </c>
      <c r="F6231" s="6" t="s">
        <v>16051</v>
      </c>
      <c r="G6231" s="6" t="s">
        <v>16</v>
      </c>
      <c r="H6231" s="5">
        <v>1</v>
      </c>
      <c r="I6231" s="6" t="s">
        <v>16051</v>
      </c>
      <c r="J6231" s="5">
        <v>443</v>
      </c>
    </row>
    <row r="6232" s="2" customFormat="1" spans="1:10">
      <c r="A6232" s="6">
        <f>6230</f>
        <v>6230</v>
      </c>
      <c r="B6232" s="6" t="s">
        <v>16052</v>
      </c>
      <c r="C6232" s="6" t="s">
        <v>12</v>
      </c>
      <c r="D6232" s="6" t="s">
        <v>15785</v>
      </c>
      <c r="E6232" s="6" t="s">
        <v>16006</v>
      </c>
      <c r="F6232" s="6" t="s">
        <v>8704</v>
      </c>
      <c r="G6232" s="6" t="s">
        <v>16</v>
      </c>
      <c r="H6232" s="5">
        <v>1</v>
      </c>
      <c r="I6232" s="6" t="s">
        <v>8704</v>
      </c>
      <c r="J6232" s="5">
        <v>413</v>
      </c>
    </row>
    <row r="6233" s="2" customFormat="1" spans="1:10">
      <c r="A6233" s="6">
        <f>6231</f>
        <v>6231</v>
      </c>
      <c r="B6233" s="6" t="s">
        <v>16053</v>
      </c>
      <c r="C6233" s="6" t="s">
        <v>12</v>
      </c>
      <c r="D6233" s="6" t="s">
        <v>15785</v>
      </c>
      <c r="E6233" s="6" t="s">
        <v>16006</v>
      </c>
      <c r="F6233" s="6" t="s">
        <v>16054</v>
      </c>
      <c r="G6233" s="6" t="s">
        <v>16</v>
      </c>
      <c r="H6233" s="5">
        <v>1</v>
      </c>
      <c r="I6233" s="6" t="s">
        <v>16054</v>
      </c>
      <c r="J6233" s="5">
        <v>543</v>
      </c>
    </row>
    <row r="6234" s="2" customFormat="1" spans="1:10">
      <c r="A6234" s="6">
        <f>6232</f>
        <v>6232</v>
      </c>
      <c r="B6234" s="6" t="s">
        <v>16055</v>
      </c>
      <c r="C6234" s="6" t="s">
        <v>12</v>
      </c>
      <c r="D6234" s="6" t="s">
        <v>15785</v>
      </c>
      <c r="E6234" s="6" t="s">
        <v>16006</v>
      </c>
      <c r="F6234" s="6" t="s">
        <v>16056</v>
      </c>
      <c r="G6234" s="6" t="s">
        <v>16</v>
      </c>
      <c r="H6234" s="5">
        <v>1</v>
      </c>
      <c r="I6234" s="6" t="s">
        <v>16056</v>
      </c>
      <c r="J6234" s="5">
        <v>268</v>
      </c>
    </row>
    <row r="6235" s="2" customFormat="1" spans="1:10">
      <c r="A6235" s="6">
        <f>6233</f>
        <v>6233</v>
      </c>
      <c r="B6235" s="6" t="s">
        <v>16057</v>
      </c>
      <c r="C6235" s="6" t="s">
        <v>12</v>
      </c>
      <c r="D6235" s="6" t="s">
        <v>15785</v>
      </c>
      <c r="E6235" s="6" t="s">
        <v>16006</v>
      </c>
      <c r="F6235" s="6" t="s">
        <v>15273</v>
      </c>
      <c r="G6235" s="6" t="s">
        <v>16</v>
      </c>
      <c r="H6235" s="5">
        <v>2</v>
      </c>
      <c r="I6235" s="6" t="s">
        <v>16058</v>
      </c>
      <c r="J6235" s="5">
        <v>1240</v>
      </c>
    </row>
    <row r="6236" s="2" customFormat="1" spans="1:10">
      <c r="A6236" s="6">
        <f>6234</f>
        <v>6234</v>
      </c>
      <c r="B6236" s="6" t="s">
        <v>16059</v>
      </c>
      <c r="C6236" s="6" t="s">
        <v>12</v>
      </c>
      <c r="D6236" s="6" t="s">
        <v>15785</v>
      </c>
      <c r="E6236" s="6" t="s">
        <v>16006</v>
      </c>
      <c r="F6236" s="6" t="s">
        <v>16060</v>
      </c>
      <c r="G6236" s="6" t="s">
        <v>16</v>
      </c>
      <c r="H6236" s="5">
        <v>1</v>
      </c>
      <c r="I6236" s="6" t="s">
        <v>16060</v>
      </c>
      <c r="J6236" s="5">
        <v>543</v>
      </c>
    </row>
    <row r="6237" s="2" customFormat="1" spans="1:10">
      <c r="A6237" s="6">
        <f>6235</f>
        <v>6235</v>
      </c>
      <c r="B6237" s="6" t="s">
        <v>16061</v>
      </c>
      <c r="C6237" s="6" t="s">
        <v>12</v>
      </c>
      <c r="D6237" s="6" t="s">
        <v>15785</v>
      </c>
      <c r="E6237" s="6" t="s">
        <v>16006</v>
      </c>
      <c r="F6237" s="6" t="s">
        <v>16062</v>
      </c>
      <c r="G6237" s="6" t="s">
        <v>16</v>
      </c>
      <c r="H6237" s="5">
        <v>1</v>
      </c>
      <c r="I6237" s="6" t="s">
        <v>16062</v>
      </c>
      <c r="J6237" s="5">
        <v>553</v>
      </c>
    </row>
    <row r="6238" s="2" customFormat="1" spans="1:10">
      <c r="A6238" s="6">
        <f>6236</f>
        <v>6236</v>
      </c>
      <c r="B6238" s="6" t="s">
        <v>16063</v>
      </c>
      <c r="C6238" s="6" t="s">
        <v>12</v>
      </c>
      <c r="D6238" s="6" t="s">
        <v>15785</v>
      </c>
      <c r="E6238" s="6" t="s">
        <v>16006</v>
      </c>
      <c r="F6238" s="6" t="s">
        <v>16064</v>
      </c>
      <c r="G6238" s="6" t="s">
        <v>16</v>
      </c>
      <c r="H6238" s="5">
        <v>1</v>
      </c>
      <c r="I6238" s="6" t="s">
        <v>16064</v>
      </c>
      <c r="J6238" s="5">
        <v>438</v>
      </c>
    </row>
    <row r="6239" s="2" customFormat="1" spans="1:10">
      <c r="A6239" s="6">
        <f>6237</f>
        <v>6237</v>
      </c>
      <c r="B6239" s="6" t="s">
        <v>16065</v>
      </c>
      <c r="C6239" s="6" t="s">
        <v>12</v>
      </c>
      <c r="D6239" s="6" t="s">
        <v>15785</v>
      </c>
      <c r="E6239" s="6" t="s">
        <v>16006</v>
      </c>
      <c r="F6239" s="6" t="s">
        <v>16066</v>
      </c>
      <c r="G6239" s="6" t="s">
        <v>16</v>
      </c>
      <c r="H6239" s="5">
        <v>1</v>
      </c>
      <c r="I6239" s="6" t="s">
        <v>16066</v>
      </c>
      <c r="J6239" s="5">
        <v>380</v>
      </c>
    </row>
    <row r="6240" s="2" customFormat="1" spans="1:10">
      <c r="A6240" s="6">
        <f>6238</f>
        <v>6238</v>
      </c>
      <c r="B6240" s="6" t="s">
        <v>16067</v>
      </c>
      <c r="C6240" s="6" t="s">
        <v>12</v>
      </c>
      <c r="D6240" s="6" t="s">
        <v>15785</v>
      </c>
      <c r="E6240" s="6" t="s">
        <v>16006</v>
      </c>
      <c r="F6240" s="6" t="s">
        <v>16068</v>
      </c>
      <c r="G6240" s="6" t="s">
        <v>16</v>
      </c>
      <c r="H6240" s="5">
        <v>1</v>
      </c>
      <c r="I6240" s="6" t="s">
        <v>16068</v>
      </c>
      <c r="J6240" s="5">
        <v>316</v>
      </c>
    </row>
    <row r="6241" s="2" customFormat="1" spans="1:10">
      <c r="A6241" s="6">
        <f>6239</f>
        <v>6239</v>
      </c>
      <c r="B6241" s="6" t="s">
        <v>16069</v>
      </c>
      <c r="C6241" s="6" t="s">
        <v>12</v>
      </c>
      <c r="D6241" s="6" t="s">
        <v>15785</v>
      </c>
      <c r="E6241" s="6" t="s">
        <v>16070</v>
      </c>
      <c r="F6241" s="6" t="s">
        <v>16071</v>
      </c>
      <c r="G6241" s="6" t="s">
        <v>16</v>
      </c>
      <c r="H6241" s="5">
        <v>2</v>
      </c>
      <c r="I6241" s="6" t="s">
        <v>16072</v>
      </c>
      <c r="J6241" s="5">
        <v>511</v>
      </c>
    </row>
    <row r="6242" s="2" customFormat="1" spans="1:10">
      <c r="A6242" s="6">
        <f>6240</f>
        <v>6240</v>
      </c>
      <c r="B6242" s="6" t="s">
        <v>16073</v>
      </c>
      <c r="C6242" s="6" t="s">
        <v>12</v>
      </c>
      <c r="D6242" s="6" t="s">
        <v>15785</v>
      </c>
      <c r="E6242" s="6" t="s">
        <v>16070</v>
      </c>
      <c r="F6242" s="6" t="s">
        <v>16074</v>
      </c>
      <c r="G6242" s="6" t="s">
        <v>16</v>
      </c>
      <c r="H6242" s="5">
        <v>2</v>
      </c>
      <c r="I6242" s="6" t="s">
        <v>16075</v>
      </c>
      <c r="J6242" s="5">
        <v>926</v>
      </c>
    </row>
    <row r="6243" s="2" customFormat="1" spans="1:10">
      <c r="A6243" s="6">
        <f>6241</f>
        <v>6241</v>
      </c>
      <c r="B6243" s="6" t="s">
        <v>16076</v>
      </c>
      <c r="C6243" s="6" t="s">
        <v>12</v>
      </c>
      <c r="D6243" s="6" t="s">
        <v>15785</v>
      </c>
      <c r="E6243" s="6" t="s">
        <v>16070</v>
      </c>
      <c r="F6243" s="6" t="s">
        <v>16077</v>
      </c>
      <c r="G6243" s="6" t="s">
        <v>16</v>
      </c>
      <c r="H6243" s="5">
        <v>2</v>
      </c>
      <c r="I6243" s="6" t="s">
        <v>16078</v>
      </c>
      <c r="J6243" s="5">
        <v>1240</v>
      </c>
    </row>
    <row r="6244" s="2" customFormat="1" spans="1:10">
      <c r="A6244" s="6">
        <f>6242</f>
        <v>6242</v>
      </c>
      <c r="B6244" s="6" t="s">
        <v>16079</v>
      </c>
      <c r="C6244" s="6" t="s">
        <v>12</v>
      </c>
      <c r="D6244" s="6" t="s">
        <v>15785</v>
      </c>
      <c r="E6244" s="6" t="s">
        <v>16070</v>
      </c>
      <c r="F6244" s="6" t="s">
        <v>16080</v>
      </c>
      <c r="G6244" s="6" t="s">
        <v>16</v>
      </c>
      <c r="H6244" s="5">
        <v>1</v>
      </c>
      <c r="I6244" s="6" t="s">
        <v>16080</v>
      </c>
      <c r="J6244" s="5">
        <v>440</v>
      </c>
    </row>
    <row r="6245" s="2" customFormat="1" spans="1:10">
      <c r="A6245" s="6">
        <f>6243</f>
        <v>6243</v>
      </c>
      <c r="B6245" s="6" t="s">
        <v>16081</v>
      </c>
      <c r="C6245" s="6" t="s">
        <v>12</v>
      </c>
      <c r="D6245" s="6" t="s">
        <v>15785</v>
      </c>
      <c r="E6245" s="6" t="s">
        <v>16070</v>
      </c>
      <c r="F6245" s="6" t="s">
        <v>16082</v>
      </c>
      <c r="G6245" s="6" t="s">
        <v>16</v>
      </c>
      <c r="H6245" s="5">
        <v>3</v>
      </c>
      <c r="I6245" s="6" t="s">
        <v>16083</v>
      </c>
      <c r="J6245" s="5">
        <v>1301</v>
      </c>
    </row>
    <row r="6246" s="2" customFormat="1" spans="1:10">
      <c r="A6246" s="6">
        <f>6244</f>
        <v>6244</v>
      </c>
      <c r="B6246" s="6" t="s">
        <v>16084</v>
      </c>
      <c r="C6246" s="6" t="s">
        <v>12</v>
      </c>
      <c r="D6246" s="6" t="s">
        <v>15785</v>
      </c>
      <c r="E6246" s="6" t="s">
        <v>16070</v>
      </c>
      <c r="F6246" s="6" t="s">
        <v>16085</v>
      </c>
      <c r="G6246" s="6" t="s">
        <v>16</v>
      </c>
      <c r="H6246" s="5">
        <v>1</v>
      </c>
      <c r="I6246" s="6" t="s">
        <v>16085</v>
      </c>
      <c r="J6246" s="5">
        <v>395</v>
      </c>
    </row>
    <row r="6247" s="2" customFormat="1" spans="1:10">
      <c r="A6247" s="6">
        <f>6245</f>
        <v>6245</v>
      </c>
      <c r="B6247" s="6" t="s">
        <v>16086</v>
      </c>
      <c r="C6247" s="6" t="s">
        <v>12</v>
      </c>
      <c r="D6247" s="6" t="s">
        <v>15785</v>
      </c>
      <c r="E6247" s="6" t="s">
        <v>16070</v>
      </c>
      <c r="F6247" s="6" t="s">
        <v>16087</v>
      </c>
      <c r="G6247" s="6" t="s">
        <v>16</v>
      </c>
      <c r="H6247" s="5">
        <v>3</v>
      </c>
      <c r="I6247" s="6" t="s">
        <v>16088</v>
      </c>
      <c r="J6247" s="5">
        <v>1089</v>
      </c>
    </row>
    <row r="6248" s="2" customFormat="1" spans="1:10">
      <c r="A6248" s="6">
        <f>6246</f>
        <v>6246</v>
      </c>
      <c r="B6248" s="6" t="s">
        <v>16089</v>
      </c>
      <c r="C6248" s="6" t="s">
        <v>12</v>
      </c>
      <c r="D6248" s="6" t="s">
        <v>15785</v>
      </c>
      <c r="E6248" s="6" t="s">
        <v>16070</v>
      </c>
      <c r="F6248" s="6" t="s">
        <v>16090</v>
      </c>
      <c r="G6248" s="6" t="s">
        <v>16</v>
      </c>
      <c r="H6248" s="5">
        <v>1</v>
      </c>
      <c r="I6248" s="6" t="s">
        <v>16090</v>
      </c>
      <c r="J6248" s="5">
        <v>414</v>
      </c>
    </row>
    <row r="6249" s="2" customFormat="1" spans="1:10">
      <c r="A6249" s="6">
        <f>6247</f>
        <v>6247</v>
      </c>
      <c r="B6249" s="6" t="s">
        <v>16091</v>
      </c>
      <c r="C6249" s="6" t="s">
        <v>12</v>
      </c>
      <c r="D6249" s="6" t="s">
        <v>15785</v>
      </c>
      <c r="E6249" s="6" t="s">
        <v>16070</v>
      </c>
      <c r="F6249" s="6" t="s">
        <v>16092</v>
      </c>
      <c r="G6249" s="6" t="s">
        <v>16</v>
      </c>
      <c r="H6249" s="5">
        <v>1</v>
      </c>
      <c r="I6249" s="6" t="s">
        <v>16092</v>
      </c>
      <c r="J6249" s="5">
        <v>473</v>
      </c>
    </row>
    <row r="6250" s="2" customFormat="1" spans="1:10">
      <c r="A6250" s="6">
        <f>6248</f>
        <v>6248</v>
      </c>
      <c r="B6250" s="6" t="s">
        <v>16093</v>
      </c>
      <c r="C6250" s="6" t="s">
        <v>12</v>
      </c>
      <c r="D6250" s="6" t="s">
        <v>15785</v>
      </c>
      <c r="E6250" s="6" t="s">
        <v>16070</v>
      </c>
      <c r="F6250" s="6" t="s">
        <v>16094</v>
      </c>
      <c r="G6250" s="6" t="s">
        <v>16</v>
      </c>
      <c r="H6250" s="5">
        <v>1</v>
      </c>
      <c r="I6250" s="6" t="s">
        <v>16094</v>
      </c>
      <c r="J6250" s="5">
        <v>463</v>
      </c>
    </row>
    <row r="6251" s="2" customFormat="1" spans="1:10">
      <c r="A6251" s="6">
        <f>6249</f>
        <v>6249</v>
      </c>
      <c r="B6251" s="6" t="s">
        <v>16095</v>
      </c>
      <c r="C6251" s="6" t="s">
        <v>12</v>
      </c>
      <c r="D6251" s="6" t="s">
        <v>15785</v>
      </c>
      <c r="E6251" s="6" t="s">
        <v>16096</v>
      </c>
      <c r="F6251" s="6" t="s">
        <v>16097</v>
      </c>
      <c r="G6251" s="6" t="s">
        <v>16</v>
      </c>
      <c r="H6251" s="5">
        <v>2</v>
      </c>
      <c r="I6251" s="6" t="s">
        <v>16098</v>
      </c>
      <c r="J6251" s="5">
        <v>804</v>
      </c>
    </row>
    <row r="6252" s="2" customFormat="1" spans="1:10">
      <c r="A6252" s="6">
        <f>6250</f>
        <v>6250</v>
      </c>
      <c r="B6252" s="6" t="s">
        <v>16099</v>
      </c>
      <c r="C6252" s="6" t="s">
        <v>12</v>
      </c>
      <c r="D6252" s="6" t="s">
        <v>15785</v>
      </c>
      <c r="E6252" s="6" t="s">
        <v>16096</v>
      </c>
      <c r="F6252" s="6" t="s">
        <v>16100</v>
      </c>
      <c r="G6252" s="6" t="s">
        <v>16</v>
      </c>
      <c r="H6252" s="5">
        <v>1</v>
      </c>
      <c r="I6252" s="6" t="s">
        <v>16100</v>
      </c>
      <c r="J6252" s="5">
        <v>456</v>
      </c>
    </row>
    <row r="6253" s="2" customFormat="1" spans="1:10">
      <c r="A6253" s="6">
        <f>6251</f>
        <v>6251</v>
      </c>
      <c r="B6253" s="6" t="s">
        <v>16101</v>
      </c>
      <c r="C6253" s="6" t="s">
        <v>12</v>
      </c>
      <c r="D6253" s="6" t="s">
        <v>15785</v>
      </c>
      <c r="E6253" s="6" t="s">
        <v>16096</v>
      </c>
      <c r="F6253" s="6" t="s">
        <v>16102</v>
      </c>
      <c r="G6253" s="6" t="s">
        <v>16</v>
      </c>
      <c r="H6253" s="5">
        <v>1</v>
      </c>
      <c r="I6253" s="6" t="s">
        <v>16102</v>
      </c>
      <c r="J6253" s="5">
        <v>452</v>
      </c>
    </row>
    <row r="6254" s="2" customFormat="1" spans="1:10">
      <c r="A6254" s="6">
        <f>6252</f>
        <v>6252</v>
      </c>
      <c r="B6254" s="6" t="s">
        <v>16103</v>
      </c>
      <c r="C6254" s="6" t="s">
        <v>12</v>
      </c>
      <c r="D6254" s="6" t="s">
        <v>15785</v>
      </c>
      <c r="E6254" s="6" t="s">
        <v>16096</v>
      </c>
      <c r="F6254" s="6" t="s">
        <v>16104</v>
      </c>
      <c r="G6254" s="6" t="s">
        <v>16</v>
      </c>
      <c r="H6254" s="5">
        <v>1</v>
      </c>
      <c r="I6254" s="6" t="s">
        <v>16104</v>
      </c>
      <c r="J6254" s="5">
        <v>473</v>
      </c>
    </row>
    <row r="6255" s="2" customFormat="1" spans="1:10">
      <c r="A6255" s="6">
        <f>6253</f>
        <v>6253</v>
      </c>
      <c r="B6255" s="6" t="s">
        <v>16105</v>
      </c>
      <c r="C6255" s="6" t="s">
        <v>12</v>
      </c>
      <c r="D6255" s="6" t="s">
        <v>15785</v>
      </c>
      <c r="E6255" s="6" t="s">
        <v>16096</v>
      </c>
      <c r="F6255" s="6" t="s">
        <v>16106</v>
      </c>
      <c r="G6255" s="6" t="s">
        <v>16</v>
      </c>
      <c r="H6255" s="5">
        <v>1</v>
      </c>
      <c r="I6255" s="6" t="s">
        <v>16106</v>
      </c>
      <c r="J6255" s="5">
        <v>465</v>
      </c>
    </row>
    <row r="6256" s="2" customFormat="1" ht="27" spans="1:10">
      <c r="A6256" s="6">
        <f>6254</f>
        <v>6254</v>
      </c>
      <c r="B6256" s="6" t="s">
        <v>16107</v>
      </c>
      <c r="C6256" s="6" t="s">
        <v>12</v>
      </c>
      <c r="D6256" s="6" t="s">
        <v>15785</v>
      </c>
      <c r="E6256" s="6" t="s">
        <v>16096</v>
      </c>
      <c r="F6256" s="6" t="s">
        <v>16108</v>
      </c>
      <c r="G6256" s="6" t="s">
        <v>16</v>
      </c>
      <c r="H6256" s="5">
        <v>5</v>
      </c>
      <c r="I6256" s="6" t="s">
        <v>16109</v>
      </c>
      <c r="J6256" s="5">
        <v>1180</v>
      </c>
    </row>
    <row r="6257" s="2" customFormat="1" spans="1:10">
      <c r="A6257" s="6">
        <f>6255</f>
        <v>6255</v>
      </c>
      <c r="B6257" s="6" t="s">
        <v>16110</v>
      </c>
      <c r="C6257" s="6" t="s">
        <v>12</v>
      </c>
      <c r="D6257" s="6" t="s">
        <v>15785</v>
      </c>
      <c r="E6257" s="6" t="s">
        <v>16096</v>
      </c>
      <c r="F6257" s="6" t="s">
        <v>16111</v>
      </c>
      <c r="G6257" s="6" t="s">
        <v>16</v>
      </c>
      <c r="H6257" s="5">
        <v>2</v>
      </c>
      <c r="I6257" s="6" t="s">
        <v>16112</v>
      </c>
      <c r="J6257" s="5">
        <v>536</v>
      </c>
    </row>
    <row r="6258" s="2" customFormat="1" spans="1:10">
      <c r="A6258" s="6">
        <f>6256</f>
        <v>6256</v>
      </c>
      <c r="B6258" s="6" t="s">
        <v>16113</v>
      </c>
      <c r="C6258" s="6" t="s">
        <v>12</v>
      </c>
      <c r="D6258" s="6" t="s">
        <v>15785</v>
      </c>
      <c r="E6258" s="6" t="s">
        <v>16096</v>
      </c>
      <c r="F6258" s="6" t="s">
        <v>16114</v>
      </c>
      <c r="G6258" s="6" t="s">
        <v>16</v>
      </c>
      <c r="H6258" s="5">
        <v>1</v>
      </c>
      <c r="I6258" s="6" t="s">
        <v>16114</v>
      </c>
      <c r="J6258" s="5">
        <v>308</v>
      </c>
    </row>
    <row r="6259" s="2" customFormat="1" spans="1:10">
      <c r="A6259" s="6">
        <f>6257</f>
        <v>6257</v>
      </c>
      <c r="B6259" s="6" t="s">
        <v>16115</v>
      </c>
      <c r="C6259" s="6" t="s">
        <v>12</v>
      </c>
      <c r="D6259" s="6" t="s">
        <v>15785</v>
      </c>
      <c r="E6259" s="6" t="s">
        <v>16096</v>
      </c>
      <c r="F6259" s="6" t="s">
        <v>16116</v>
      </c>
      <c r="G6259" s="6" t="s">
        <v>16</v>
      </c>
      <c r="H6259" s="5">
        <v>1</v>
      </c>
      <c r="I6259" s="6" t="s">
        <v>16116</v>
      </c>
      <c r="J6259" s="5">
        <v>523</v>
      </c>
    </row>
    <row r="6260" s="2" customFormat="1" ht="27" spans="1:10">
      <c r="A6260" s="6">
        <f>6258</f>
        <v>6258</v>
      </c>
      <c r="B6260" s="6" t="s">
        <v>16117</v>
      </c>
      <c r="C6260" s="6" t="s">
        <v>12</v>
      </c>
      <c r="D6260" s="6" t="s">
        <v>15785</v>
      </c>
      <c r="E6260" s="6" t="s">
        <v>16096</v>
      </c>
      <c r="F6260" s="6" t="s">
        <v>16118</v>
      </c>
      <c r="G6260" s="6" t="s">
        <v>16</v>
      </c>
      <c r="H6260" s="5">
        <v>4</v>
      </c>
      <c r="I6260" s="6" t="s">
        <v>16119</v>
      </c>
      <c r="J6260" s="5">
        <v>710</v>
      </c>
    </row>
    <row r="6261" s="2" customFormat="1" spans="1:10">
      <c r="A6261" s="6">
        <f>6259</f>
        <v>6259</v>
      </c>
      <c r="B6261" s="6" t="s">
        <v>16120</v>
      </c>
      <c r="C6261" s="6" t="s">
        <v>12</v>
      </c>
      <c r="D6261" s="6" t="s">
        <v>15785</v>
      </c>
      <c r="E6261" s="6" t="s">
        <v>16096</v>
      </c>
      <c r="F6261" s="6" t="s">
        <v>16121</v>
      </c>
      <c r="G6261" s="6" t="s">
        <v>16</v>
      </c>
      <c r="H6261" s="5">
        <v>3</v>
      </c>
      <c r="I6261" s="6" t="s">
        <v>16122</v>
      </c>
      <c r="J6261" s="5">
        <v>895</v>
      </c>
    </row>
    <row r="6262" s="2" customFormat="1" spans="1:10">
      <c r="A6262" s="6">
        <f>6260</f>
        <v>6260</v>
      </c>
      <c r="B6262" s="6" t="s">
        <v>16123</v>
      </c>
      <c r="C6262" s="6" t="s">
        <v>12</v>
      </c>
      <c r="D6262" s="6" t="s">
        <v>15785</v>
      </c>
      <c r="E6262" s="6" t="s">
        <v>16096</v>
      </c>
      <c r="F6262" s="6" t="s">
        <v>16124</v>
      </c>
      <c r="G6262" s="6" t="s">
        <v>16</v>
      </c>
      <c r="H6262" s="5">
        <v>3</v>
      </c>
      <c r="I6262" s="6" t="s">
        <v>16125</v>
      </c>
      <c r="J6262" s="5">
        <v>1050</v>
      </c>
    </row>
    <row r="6263" s="2" customFormat="1" spans="1:10">
      <c r="A6263" s="6">
        <f>6261</f>
        <v>6261</v>
      </c>
      <c r="B6263" s="6" t="s">
        <v>16126</v>
      </c>
      <c r="C6263" s="6" t="s">
        <v>12</v>
      </c>
      <c r="D6263" s="6" t="s">
        <v>15785</v>
      </c>
      <c r="E6263" s="6" t="s">
        <v>16096</v>
      </c>
      <c r="F6263" s="6" t="s">
        <v>16127</v>
      </c>
      <c r="G6263" s="6" t="s">
        <v>16</v>
      </c>
      <c r="H6263" s="5">
        <v>1</v>
      </c>
      <c r="I6263" s="6" t="s">
        <v>16127</v>
      </c>
      <c r="J6263" s="5">
        <v>405</v>
      </c>
    </row>
    <row r="6264" s="2" customFormat="1" spans="1:10">
      <c r="A6264" s="6">
        <f>6262</f>
        <v>6262</v>
      </c>
      <c r="B6264" s="6" t="s">
        <v>16128</v>
      </c>
      <c r="C6264" s="6" t="s">
        <v>12</v>
      </c>
      <c r="D6264" s="6" t="s">
        <v>15785</v>
      </c>
      <c r="E6264" s="6" t="s">
        <v>16096</v>
      </c>
      <c r="F6264" s="6" t="s">
        <v>16129</v>
      </c>
      <c r="G6264" s="6" t="s">
        <v>16</v>
      </c>
      <c r="H6264" s="5">
        <v>3</v>
      </c>
      <c r="I6264" s="6" t="s">
        <v>16130</v>
      </c>
      <c r="J6264" s="5">
        <v>537</v>
      </c>
    </row>
    <row r="6265" s="2" customFormat="1" ht="27" spans="1:10">
      <c r="A6265" s="6">
        <f>6263</f>
        <v>6263</v>
      </c>
      <c r="B6265" s="6" t="s">
        <v>16131</v>
      </c>
      <c r="C6265" s="6" t="s">
        <v>12</v>
      </c>
      <c r="D6265" s="6" t="s">
        <v>16132</v>
      </c>
      <c r="E6265" s="6" t="s">
        <v>16133</v>
      </c>
      <c r="F6265" s="6" t="s">
        <v>16134</v>
      </c>
      <c r="G6265" s="6" t="s">
        <v>16</v>
      </c>
      <c r="H6265" s="5">
        <v>5</v>
      </c>
      <c r="I6265" s="6" t="s">
        <v>16135</v>
      </c>
      <c r="J6265" s="5">
        <v>770</v>
      </c>
    </row>
    <row r="6266" s="2" customFormat="1" ht="27" spans="1:10">
      <c r="A6266" s="6">
        <f>6264</f>
        <v>6264</v>
      </c>
      <c r="B6266" s="6" t="s">
        <v>16136</v>
      </c>
      <c r="C6266" s="6" t="s">
        <v>12</v>
      </c>
      <c r="D6266" s="6" t="s">
        <v>16132</v>
      </c>
      <c r="E6266" s="6" t="s">
        <v>16133</v>
      </c>
      <c r="F6266" s="6" t="s">
        <v>16137</v>
      </c>
      <c r="G6266" s="6" t="s">
        <v>16</v>
      </c>
      <c r="H6266" s="5">
        <v>4</v>
      </c>
      <c r="I6266" s="6" t="s">
        <v>16138</v>
      </c>
      <c r="J6266" s="5">
        <v>1450</v>
      </c>
    </row>
    <row r="6267" s="2" customFormat="1" spans="1:10">
      <c r="A6267" s="6">
        <f>6265</f>
        <v>6265</v>
      </c>
      <c r="B6267" s="6" t="s">
        <v>16139</v>
      </c>
      <c r="C6267" s="6" t="s">
        <v>12</v>
      </c>
      <c r="D6267" s="6" t="s">
        <v>16132</v>
      </c>
      <c r="E6267" s="6" t="s">
        <v>16133</v>
      </c>
      <c r="F6267" s="6" t="s">
        <v>10416</v>
      </c>
      <c r="G6267" s="6" t="s">
        <v>16</v>
      </c>
      <c r="H6267" s="5">
        <v>2</v>
      </c>
      <c r="I6267" s="6" t="s">
        <v>16140</v>
      </c>
      <c r="J6267" s="5">
        <v>520</v>
      </c>
    </row>
    <row r="6268" s="2" customFormat="1" spans="1:10">
      <c r="A6268" s="6">
        <f>6266</f>
        <v>6266</v>
      </c>
      <c r="B6268" s="6" t="s">
        <v>16141</v>
      </c>
      <c r="C6268" s="6" t="s">
        <v>12</v>
      </c>
      <c r="D6268" s="6" t="s">
        <v>16132</v>
      </c>
      <c r="E6268" s="6" t="s">
        <v>16133</v>
      </c>
      <c r="F6268" s="6" t="s">
        <v>16142</v>
      </c>
      <c r="G6268" s="6" t="s">
        <v>16</v>
      </c>
      <c r="H6268" s="5">
        <v>2</v>
      </c>
      <c r="I6268" s="6" t="s">
        <v>16143</v>
      </c>
      <c r="J6268" s="5">
        <v>480</v>
      </c>
    </row>
    <row r="6269" s="2" customFormat="1" spans="1:10">
      <c r="A6269" s="6">
        <f>6267</f>
        <v>6267</v>
      </c>
      <c r="B6269" s="6" t="s">
        <v>16144</v>
      </c>
      <c r="C6269" s="6" t="s">
        <v>12</v>
      </c>
      <c r="D6269" s="6" t="s">
        <v>16132</v>
      </c>
      <c r="E6269" s="6" t="s">
        <v>16133</v>
      </c>
      <c r="F6269" s="6" t="s">
        <v>16145</v>
      </c>
      <c r="G6269" s="6" t="s">
        <v>16</v>
      </c>
      <c r="H6269" s="5">
        <v>2</v>
      </c>
      <c r="I6269" s="6" t="s">
        <v>16146</v>
      </c>
      <c r="J6269" s="5">
        <v>740</v>
      </c>
    </row>
    <row r="6270" s="2" customFormat="1" spans="1:10">
      <c r="A6270" s="6">
        <f>6268</f>
        <v>6268</v>
      </c>
      <c r="B6270" s="6" t="s">
        <v>16147</v>
      </c>
      <c r="C6270" s="6" t="s">
        <v>12</v>
      </c>
      <c r="D6270" s="6" t="s">
        <v>16132</v>
      </c>
      <c r="E6270" s="6" t="s">
        <v>16133</v>
      </c>
      <c r="F6270" s="6" t="s">
        <v>16148</v>
      </c>
      <c r="G6270" s="6" t="s">
        <v>16</v>
      </c>
      <c r="H6270" s="5">
        <v>3</v>
      </c>
      <c r="I6270" s="6" t="s">
        <v>16149</v>
      </c>
      <c r="J6270" s="5">
        <v>740</v>
      </c>
    </row>
    <row r="6271" s="2" customFormat="1" spans="1:10">
      <c r="A6271" s="6">
        <f>6269</f>
        <v>6269</v>
      </c>
      <c r="B6271" s="6" t="s">
        <v>16150</v>
      </c>
      <c r="C6271" s="6" t="s">
        <v>12</v>
      </c>
      <c r="D6271" s="6" t="s">
        <v>16132</v>
      </c>
      <c r="E6271" s="6" t="s">
        <v>16133</v>
      </c>
      <c r="F6271" s="6" t="s">
        <v>16151</v>
      </c>
      <c r="G6271" s="6" t="s">
        <v>16</v>
      </c>
      <c r="H6271" s="5">
        <v>3</v>
      </c>
      <c r="I6271" s="6" t="s">
        <v>16152</v>
      </c>
      <c r="J6271" s="5">
        <v>600</v>
      </c>
    </row>
    <row r="6272" s="2" customFormat="1" ht="27" spans="1:10">
      <c r="A6272" s="6">
        <f>6270</f>
        <v>6270</v>
      </c>
      <c r="B6272" s="6" t="s">
        <v>16153</v>
      </c>
      <c r="C6272" s="6" t="s">
        <v>12</v>
      </c>
      <c r="D6272" s="6" t="s">
        <v>16132</v>
      </c>
      <c r="E6272" s="6" t="s">
        <v>16133</v>
      </c>
      <c r="F6272" s="6" t="s">
        <v>16154</v>
      </c>
      <c r="G6272" s="6" t="s">
        <v>16</v>
      </c>
      <c r="H6272" s="5">
        <v>4</v>
      </c>
      <c r="I6272" s="6" t="s">
        <v>16155</v>
      </c>
      <c r="J6272" s="5">
        <v>1200</v>
      </c>
    </row>
    <row r="6273" s="2" customFormat="1" spans="1:10">
      <c r="A6273" s="6">
        <f>6271</f>
        <v>6271</v>
      </c>
      <c r="B6273" s="6" t="s">
        <v>16156</v>
      </c>
      <c r="C6273" s="6" t="s">
        <v>12</v>
      </c>
      <c r="D6273" s="6" t="s">
        <v>16132</v>
      </c>
      <c r="E6273" s="6" t="s">
        <v>16133</v>
      </c>
      <c r="F6273" s="6" t="s">
        <v>4345</v>
      </c>
      <c r="G6273" s="6" t="s">
        <v>16</v>
      </c>
      <c r="H6273" s="5">
        <v>3</v>
      </c>
      <c r="I6273" s="6" t="s">
        <v>16157</v>
      </c>
      <c r="J6273" s="5">
        <v>620</v>
      </c>
    </row>
    <row r="6274" s="2" customFormat="1" ht="27" spans="1:10">
      <c r="A6274" s="6">
        <f>6272</f>
        <v>6272</v>
      </c>
      <c r="B6274" s="6" t="s">
        <v>16158</v>
      </c>
      <c r="C6274" s="6" t="s">
        <v>12</v>
      </c>
      <c r="D6274" s="6" t="s">
        <v>16132</v>
      </c>
      <c r="E6274" s="6" t="s">
        <v>16133</v>
      </c>
      <c r="F6274" s="6" t="s">
        <v>16159</v>
      </c>
      <c r="G6274" s="6" t="s">
        <v>16</v>
      </c>
      <c r="H6274" s="5">
        <v>4</v>
      </c>
      <c r="I6274" s="6" t="s">
        <v>16160</v>
      </c>
      <c r="J6274" s="5">
        <v>640</v>
      </c>
    </row>
    <row r="6275" s="2" customFormat="1" spans="1:10">
      <c r="A6275" s="6">
        <f>6273</f>
        <v>6273</v>
      </c>
      <c r="B6275" s="6" t="s">
        <v>16161</v>
      </c>
      <c r="C6275" s="6" t="s">
        <v>12</v>
      </c>
      <c r="D6275" s="6" t="s">
        <v>16132</v>
      </c>
      <c r="E6275" s="6" t="s">
        <v>16133</v>
      </c>
      <c r="F6275" s="6" t="s">
        <v>16162</v>
      </c>
      <c r="G6275" s="6" t="s">
        <v>16</v>
      </c>
      <c r="H6275" s="5">
        <v>3</v>
      </c>
      <c r="I6275" s="6" t="s">
        <v>16163</v>
      </c>
      <c r="J6275" s="5">
        <v>480</v>
      </c>
    </row>
    <row r="6276" s="2" customFormat="1" spans="1:10">
      <c r="A6276" s="6">
        <f>6274</f>
        <v>6274</v>
      </c>
      <c r="B6276" s="6" t="s">
        <v>16164</v>
      </c>
      <c r="C6276" s="6" t="s">
        <v>12</v>
      </c>
      <c r="D6276" s="6" t="s">
        <v>16132</v>
      </c>
      <c r="E6276" s="6" t="s">
        <v>16133</v>
      </c>
      <c r="F6276" s="6" t="s">
        <v>16165</v>
      </c>
      <c r="G6276" s="6" t="s">
        <v>16</v>
      </c>
      <c r="H6276" s="5">
        <v>2</v>
      </c>
      <c r="I6276" s="6" t="s">
        <v>16166</v>
      </c>
      <c r="J6276" s="5">
        <v>320</v>
      </c>
    </row>
    <row r="6277" s="2" customFormat="1" spans="1:10">
      <c r="A6277" s="6">
        <f>6275</f>
        <v>6275</v>
      </c>
      <c r="B6277" s="6" t="s">
        <v>16167</v>
      </c>
      <c r="C6277" s="6" t="s">
        <v>12</v>
      </c>
      <c r="D6277" s="6" t="s">
        <v>16132</v>
      </c>
      <c r="E6277" s="6" t="s">
        <v>16133</v>
      </c>
      <c r="F6277" s="6" t="s">
        <v>16168</v>
      </c>
      <c r="G6277" s="6" t="s">
        <v>16</v>
      </c>
      <c r="H6277" s="5">
        <v>3</v>
      </c>
      <c r="I6277" s="6" t="s">
        <v>16169</v>
      </c>
      <c r="J6277" s="5">
        <v>720</v>
      </c>
    </row>
    <row r="6278" s="2" customFormat="1" spans="1:10">
      <c r="A6278" s="6">
        <f>6276</f>
        <v>6276</v>
      </c>
      <c r="B6278" s="6" t="s">
        <v>16170</v>
      </c>
      <c r="C6278" s="6" t="s">
        <v>12</v>
      </c>
      <c r="D6278" s="6" t="s">
        <v>16132</v>
      </c>
      <c r="E6278" s="6" t="s">
        <v>16133</v>
      </c>
      <c r="F6278" s="6" t="s">
        <v>16171</v>
      </c>
      <c r="G6278" s="6" t="s">
        <v>16</v>
      </c>
      <c r="H6278" s="5">
        <v>1</v>
      </c>
      <c r="I6278" s="6" t="s">
        <v>16171</v>
      </c>
      <c r="J6278" s="5">
        <v>360</v>
      </c>
    </row>
    <row r="6279" s="2" customFormat="1" spans="1:10">
      <c r="A6279" s="6">
        <f>6277</f>
        <v>6277</v>
      </c>
      <c r="B6279" s="6" t="s">
        <v>16172</v>
      </c>
      <c r="C6279" s="6" t="s">
        <v>12</v>
      </c>
      <c r="D6279" s="6" t="s">
        <v>16132</v>
      </c>
      <c r="E6279" s="6" t="s">
        <v>16133</v>
      </c>
      <c r="F6279" s="6" t="s">
        <v>5023</v>
      </c>
      <c r="G6279" s="6" t="s">
        <v>16</v>
      </c>
      <c r="H6279" s="5">
        <v>2</v>
      </c>
      <c r="I6279" s="6" t="s">
        <v>16173</v>
      </c>
      <c r="J6279" s="5">
        <v>680</v>
      </c>
    </row>
    <row r="6280" s="2" customFormat="1" ht="27" spans="1:10">
      <c r="A6280" s="6">
        <f>6278</f>
        <v>6278</v>
      </c>
      <c r="B6280" s="6" t="s">
        <v>16174</v>
      </c>
      <c r="C6280" s="6" t="s">
        <v>12</v>
      </c>
      <c r="D6280" s="6" t="s">
        <v>16132</v>
      </c>
      <c r="E6280" s="6" t="s">
        <v>16133</v>
      </c>
      <c r="F6280" s="6" t="s">
        <v>16175</v>
      </c>
      <c r="G6280" s="6" t="s">
        <v>16</v>
      </c>
      <c r="H6280" s="5">
        <v>4</v>
      </c>
      <c r="I6280" s="6" t="s">
        <v>16176</v>
      </c>
      <c r="J6280" s="5">
        <v>950</v>
      </c>
    </row>
    <row r="6281" s="2" customFormat="1" spans="1:10">
      <c r="A6281" s="6">
        <f>6279</f>
        <v>6279</v>
      </c>
      <c r="B6281" s="6" t="s">
        <v>16177</v>
      </c>
      <c r="C6281" s="6" t="s">
        <v>12</v>
      </c>
      <c r="D6281" s="6" t="s">
        <v>16132</v>
      </c>
      <c r="E6281" s="6" t="s">
        <v>16133</v>
      </c>
      <c r="F6281" s="6" t="s">
        <v>16178</v>
      </c>
      <c r="G6281" s="6" t="s">
        <v>16</v>
      </c>
      <c r="H6281" s="5">
        <v>1</v>
      </c>
      <c r="I6281" s="6" t="s">
        <v>16178</v>
      </c>
      <c r="J6281" s="5">
        <v>620</v>
      </c>
    </row>
    <row r="6282" s="2" customFormat="1" ht="27" spans="1:10">
      <c r="A6282" s="6">
        <f>6280</f>
        <v>6280</v>
      </c>
      <c r="B6282" s="6" t="s">
        <v>16179</v>
      </c>
      <c r="C6282" s="6" t="s">
        <v>12</v>
      </c>
      <c r="D6282" s="6" t="s">
        <v>16132</v>
      </c>
      <c r="E6282" s="6" t="s">
        <v>16133</v>
      </c>
      <c r="F6282" s="6" t="s">
        <v>16180</v>
      </c>
      <c r="G6282" s="6" t="s">
        <v>16</v>
      </c>
      <c r="H6282" s="5">
        <v>4</v>
      </c>
      <c r="I6282" s="6" t="s">
        <v>16181</v>
      </c>
      <c r="J6282" s="5">
        <v>776</v>
      </c>
    </row>
    <row r="6283" s="2" customFormat="1" ht="27" spans="1:10">
      <c r="A6283" s="6">
        <f>6281</f>
        <v>6281</v>
      </c>
      <c r="B6283" s="6" t="s">
        <v>16182</v>
      </c>
      <c r="C6283" s="6" t="s">
        <v>12</v>
      </c>
      <c r="D6283" s="6" t="s">
        <v>16132</v>
      </c>
      <c r="E6283" s="6" t="s">
        <v>16133</v>
      </c>
      <c r="F6283" s="6" t="s">
        <v>16183</v>
      </c>
      <c r="G6283" s="6" t="s">
        <v>16</v>
      </c>
      <c r="H6283" s="5">
        <v>6</v>
      </c>
      <c r="I6283" s="6" t="s">
        <v>16184</v>
      </c>
      <c r="J6283" s="5">
        <v>2200</v>
      </c>
    </row>
    <row r="6284" s="2" customFormat="1" spans="1:10">
      <c r="A6284" s="6">
        <f>6282</f>
        <v>6282</v>
      </c>
      <c r="B6284" s="6" t="s">
        <v>16185</v>
      </c>
      <c r="C6284" s="6" t="s">
        <v>12</v>
      </c>
      <c r="D6284" s="6" t="s">
        <v>16132</v>
      </c>
      <c r="E6284" s="6" t="s">
        <v>16133</v>
      </c>
      <c r="F6284" s="6" t="s">
        <v>16186</v>
      </c>
      <c r="G6284" s="6" t="s">
        <v>16</v>
      </c>
      <c r="H6284" s="5">
        <v>3</v>
      </c>
      <c r="I6284" s="6" t="s">
        <v>16187</v>
      </c>
      <c r="J6284" s="5">
        <v>1000</v>
      </c>
    </row>
    <row r="6285" s="2" customFormat="1" spans="1:10">
      <c r="A6285" s="6">
        <f>6283</f>
        <v>6283</v>
      </c>
      <c r="B6285" s="6" t="s">
        <v>16188</v>
      </c>
      <c r="C6285" s="6" t="s">
        <v>12</v>
      </c>
      <c r="D6285" s="6" t="s">
        <v>16132</v>
      </c>
      <c r="E6285" s="6" t="s">
        <v>16133</v>
      </c>
      <c r="F6285" s="6" t="s">
        <v>16189</v>
      </c>
      <c r="G6285" s="6" t="s">
        <v>16</v>
      </c>
      <c r="H6285" s="5">
        <v>1</v>
      </c>
      <c r="I6285" s="6" t="s">
        <v>16189</v>
      </c>
      <c r="J6285" s="5">
        <v>233</v>
      </c>
    </row>
    <row r="6286" s="2" customFormat="1" ht="27" spans="1:10">
      <c r="A6286" s="6">
        <f>6284</f>
        <v>6284</v>
      </c>
      <c r="B6286" s="6" t="s">
        <v>16190</v>
      </c>
      <c r="C6286" s="6" t="s">
        <v>12</v>
      </c>
      <c r="D6286" s="6" t="s">
        <v>16132</v>
      </c>
      <c r="E6286" s="6" t="s">
        <v>16133</v>
      </c>
      <c r="F6286" s="6" t="s">
        <v>16191</v>
      </c>
      <c r="G6286" s="6" t="s">
        <v>16</v>
      </c>
      <c r="H6286" s="5">
        <v>4</v>
      </c>
      <c r="I6286" s="6" t="s">
        <v>16192</v>
      </c>
      <c r="J6286" s="5">
        <v>590</v>
      </c>
    </row>
    <row r="6287" s="2" customFormat="1" ht="27" spans="1:10">
      <c r="A6287" s="6">
        <f>6285</f>
        <v>6285</v>
      </c>
      <c r="B6287" s="6" t="s">
        <v>16193</v>
      </c>
      <c r="C6287" s="6" t="s">
        <v>12</v>
      </c>
      <c r="D6287" s="6" t="s">
        <v>16132</v>
      </c>
      <c r="E6287" s="6" t="s">
        <v>16133</v>
      </c>
      <c r="F6287" s="6" t="s">
        <v>16194</v>
      </c>
      <c r="G6287" s="6" t="s">
        <v>16</v>
      </c>
      <c r="H6287" s="5">
        <v>4</v>
      </c>
      <c r="I6287" s="6" t="s">
        <v>16195</v>
      </c>
      <c r="J6287" s="5">
        <v>760</v>
      </c>
    </row>
    <row r="6288" s="2" customFormat="1" spans="1:10">
      <c r="A6288" s="6">
        <f>6286</f>
        <v>6286</v>
      </c>
      <c r="B6288" s="6" t="s">
        <v>16196</v>
      </c>
      <c r="C6288" s="6" t="s">
        <v>12</v>
      </c>
      <c r="D6288" s="6" t="s">
        <v>16132</v>
      </c>
      <c r="E6288" s="6" t="s">
        <v>16133</v>
      </c>
      <c r="F6288" s="6" t="s">
        <v>16197</v>
      </c>
      <c r="G6288" s="6" t="s">
        <v>16</v>
      </c>
      <c r="H6288" s="5">
        <v>1</v>
      </c>
      <c r="I6288" s="6" t="s">
        <v>16197</v>
      </c>
      <c r="J6288" s="5">
        <v>260</v>
      </c>
    </row>
    <row r="6289" s="2" customFormat="1" spans="1:10">
      <c r="A6289" s="6">
        <f>6287</f>
        <v>6287</v>
      </c>
      <c r="B6289" s="6" t="s">
        <v>16198</v>
      </c>
      <c r="C6289" s="6" t="s">
        <v>12</v>
      </c>
      <c r="D6289" s="6" t="s">
        <v>16132</v>
      </c>
      <c r="E6289" s="6" t="s">
        <v>16133</v>
      </c>
      <c r="F6289" s="6" t="s">
        <v>16199</v>
      </c>
      <c r="G6289" s="6" t="s">
        <v>16</v>
      </c>
      <c r="H6289" s="5">
        <v>2</v>
      </c>
      <c r="I6289" s="6" t="s">
        <v>16200</v>
      </c>
      <c r="J6289" s="5">
        <v>1000</v>
      </c>
    </row>
    <row r="6290" s="2" customFormat="1" spans="1:10">
      <c r="A6290" s="6">
        <f>6288</f>
        <v>6288</v>
      </c>
      <c r="B6290" s="6" t="s">
        <v>16201</v>
      </c>
      <c r="C6290" s="6" t="s">
        <v>12</v>
      </c>
      <c r="D6290" s="6" t="s">
        <v>16132</v>
      </c>
      <c r="E6290" s="6" t="s">
        <v>16133</v>
      </c>
      <c r="F6290" s="6" t="s">
        <v>16202</v>
      </c>
      <c r="G6290" s="6" t="s">
        <v>16</v>
      </c>
      <c r="H6290" s="5">
        <v>2</v>
      </c>
      <c r="I6290" s="6" t="s">
        <v>16203</v>
      </c>
      <c r="J6290" s="5">
        <v>1066</v>
      </c>
    </row>
    <row r="6291" s="2" customFormat="1" ht="27" spans="1:10">
      <c r="A6291" s="6">
        <f>6289</f>
        <v>6289</v>
      </c>
      <c r="B6291" s="6" t="s">
        <v>16204</v>
      </c>
      <c r="C6291" s="6" t="s">
        <v>12</v>
      </c>
      <c r="D6291" s="6" t="s">
        <v>16132</v>
      </c>
      <c r="E6291" s="6" t="s">
        <v>16133</v>
      </c>
      <c r="F6291" s="6" t="s">
        <v>16205</v>
      </c>
      <c r="G6291" s="6" t="s">
        <v>16</v>
      </c>
      <c r="H6291" s="5">
        <v>4</v>
      </c>
      <c r="I6291" s="6" t="s">
        <v>16206</v>
      </c>
      <c r="J6291" s="5">
        <v>770</v>
      </c>
    </row>
    <row r="6292" s="2" customFormat="1" spans="1:10">
      <c r="A6292" s="6">
        <f>6290</f>
        <v>6290</v>
      </c>
      <c r="B6292" s="6" t="s">
        <v>16207</v>
      </c>
      <c r="C6292" s="6" t="s">
        <v>12</v>
      </c>
      <c r="D6292" s="6" t="s">
        <v>16132</v>
      </c>
      <c r="E6292" s="6" t="s">
        <v>16133</v>
      </c>
      <c r="F6292" s="6" t="s">
        <v>16208</v>
      </c>
      <c r="G6292" s="6" t="s">
        <v>16</v>
      </c>
      <c r="H6292" s="5">
        <v>2</v>
      </c>
      <c r="I6292" s="6" t="s">
        <v>16209</v>
      </c>
      <c r="J6292" s="5">
        <v>800</v>
      </c>
    </row>
    <row r="6293" s="2" customFormat="1" spans="1:10">
      <c r="A6293" s="6">
        <f>6291</f>
        <v>6291</v>
      </c>
      <c r="B6293" s="6" t="s">
        <v>16210</v>
      </c>
      <c r="C6293" s="6" t="s">
        <v>12</v>
      </c>
      <c r="D6293" s="6" t="s">
        <v>16132</v>
      </c>
      <c r="E6293" s="6" t="s">
        <v>16133</v>
      </c>
      <c r="F6293" s="6" t="s">
        <v>16211</v>
      </c>
      <c r="G6293" s="6" t="s">
        <v>16</v>
      </c>
      <c r="H6293" s="5">
        <v>1</v>
      </c>
      <c r="I6293" s="6" t="s">
        <v>16211</v>
      </c>
      <c r="J6293" s="5">
        <v>260</v>
      </c>
    </row>
    <row r="6294" s="2" customFormat="1" ht="27" spans="1:10">
      <c r="A6294" s="6">
        <f>6292</f>
        <v>6292</v>
      </c>
      <c r="B6294" s="6" t="s">
        <v>16212</v>
      </c>
      <c r="C6294" s="6" t="s">
        <v>12</v>
      </c>
      <c r="D6294" s="6" t="s">
        <v>16132</v>
      </c>
      <c r="E6294" s="6" t="s">
        <v>16133</v>
      </c>
      <c r="F6294" s="6" t="s">
        <v>16213</v>
      </c>
      <c r="G6294" s="6" t="s">
        <v>16</v>
      </c>
      <c r="H6294" s="5">
        <v>5</v>
      </c>
      <c r="I6294" s="6" t="s">
        <v>16214</v>
      </c>
      <c r="J6294" s="5">
        <v>950</v>
      </c>
    </row>
    <row r="6295" s="2" customFormat="1" spans="1:10">
      <c r="A6295" s="6">
        <f>6293</f>
        <v>6293</v>
      </c>
      <c r="B6295" s="6" t="s">
        <v>16215</v>
      </c>
      <c r="C6295" s="6" t="s">
        <v>12</v>
      </c>
      <c r="D6295" s="6" t="s">
        <v>16132</v>
      </c>
      <c r="E6295" s="6" t="s">
        <v>16133</v>
      </c>
      <c r="F6295" s="6" t="s">
        <v>16216</v>
      </c>
      <c r="G6295" s="6" t="s">
        <v>16</v>
      </c>
      <c r="H6295" s="5">
        <v>1</v>
      </c>
      <c r="I6295" s="6" t="s">
        <v>16216</v>
      </c>
      <c r="J6295" s="5">
        <v>540</v>
      </c>
    </row>
    <row r="6296" s="2" customFormat="1" ht="27" spans="1:10">
      <c r="A6296" s="6">
        <f>6294</f>
        <v>6294</v>
      </c>
      <c r="B6296" s="6" t="s">
        <v>16217</v>
      </c>
      <c r="C6296" s="6" t="s">
        <v>12</v>
      </c>
      <c r="D6296" s="6" t="s">
        <v>16132</v>
      </c>
      <c r="E6296" s="6" t="s">
        <v>16133</v>
      </c>
      <c r="F6296" s="6" t="s">
        <v>16218</v>
      </c>
      <c r="G6296" s="6" t="s">
        <v>16</v>
      </c>
      <c r="H6296" s="5">
        <v>4</v>
      </c>
      <c r="I6296" s="6" t="s">
        <v>16219</v>
      </c>
      <c r="J6296" s="5">
        <v>741</v>
      </c>
    </row>
    <row r="6297" s="2" customFormat="1" ht="27" spans="1:10">
      <c r="A6297" s="6">
        <f>6295</f>
        <v>6295</v>
      </c>
      <c r="B6297" s="6" t="s">
        <v>16220</v>
      </c>
      <c r="C6297" s="6" t="s">
        <v>12</v>
      </c>
      <c r="D6297" s="6" t="s">
        <v>16132</v>
      </c>
      <c r="E6297" s="6" t="s">
        <v>16133</v>
      </c>
      <c r="F6297" s="6" t="s">
        <v>16221</v>
      </c>
      <c r="G6297" s="6" t="s">
        <v>16</v>
      </c>
      <c r="H6297" s="5">
        <v>4</v>
      </c>
      <c r="I6297" s="6" t="s">
        <v>16222</v>
      </c>
      <c r="J6297" s="5">
        <v>840</v>
      </c>
    </row>
    <row r="6298" s="2" customFormat="1" ht="40.5" spans="1:10">
      <c r="A6298" s="6">
        <f>6296</f>
        <v>6296</v>
      </c>
      <c r="B6298" s="6" t="s">
        <v>16223</v>
      </c>
      <c r="C6298" s="6" t="s">
        <v>12</v>
      </c>
      <c r="D6298" s="6" t="s">
        <v>16132</v>
      </c>
      <c r="E6298" s="6" t="s">
        <v>16133</v>
      </c>
      <c r="F6298" s="6" t="s">
        <v>9549</v>
      </c>
      <c r="G6298" s="6" t="s">
        <v>16</v>
      </c>
      <c r="H6298" s="5">
        <v>7</v>
      </c>
      <c r="I6298" s="6" t="s">
        <v>16224</v>
      </c>
      <c r="J6298" s="5">
        <v>1700</v>
      </c>
    </row>
    <row r="6299" s="2" customFormat="1" spans="1:10">
      <c r="A6299" s="6">
        <f>6297</f>
        <v>6297</v>
      </c>
      <c r="B6299" s="6" t="s">
        <v>16225</v>
      </c>
      <c r="C6299" s="6" t="s">
        <v>12</v>
      </c>
      <c r="D6299" s="6" t="s">
        <v>16132</v>
      </c>
      <c r="E6299" s="6" t="s">
        <v>16133</v>
      </c>
      <c r="F6299" s="6" t="s">
        <v>10487</v>
      </c>
      <c r="G6299" s="6" t="s">
        <v>16</v>
      </c>
      <c r="H6299" s="5">
        <v>1</v>
      </c>
      <c r="I6299" s="6" t="s">
        <v>10487</v>
      </c>
      <c r="J6299" s="5">
        <v>233</v>
      </c>
    </row>
    <row r="6300" s="2" customFormat="1" spans="1:10">
      <c r="A6300" s="6">
        <f>6298</f>
        <v>6298</v>
      </c>
      <c r="B6300" s="6" t="s">
        <v>16226</v>
      </c>
      <c r="C6300" s="6" t="s">
        <v>12</v>
      </c>
      <c r="D6300" s="6" t="s">
        <v>16132</v>
      </c>
      <c r="E6300" s="6" t="s">
        <v>16133</v>
      </c>
      <c r="F6300" s="6" t="s">
        <v>16227</v>
      </c>
      <c r="G6300" s="6" t="s">
        <v>16</v>
      </c>
      <c r="H6300" s="5">
        <v>1</v>
      </c>
      <c r="I6300" s="6" t="s">
        <v>16227</v>
      </c>
      <c r="J6300" s="5">
        <v>260</v>
      </c>
    </row>
    <row r="6301" s="2" customFormat="1" spans="1:10">
      <c r="A6301" s="6">
        <f>6299</f>
        <v>6299</v>
      </c>
      <c r="B6301" s="6" t="s">
        <v>16228</v>
      </c>
      <c r="C6301" s="6" t="s">
        <v>12</v>
      </c>
      <c r="D6301" s="6" t="s">
        <v>16132</v>
      </c>
      <c r="E6301" s="6" t="s">
        <v>16133</v>
      </c>
      <c r="F6301" s="6" t="s">
        <v>16229</v>
      </c>
      <c r="G6301" s="6" t="s">
        <v>16</v>
      </c>
      <c r="H6301" s="5">
        <v>2</v>
      </c>
      <c r="I6301" s="6" t="s">
        <v>16230</v>
      </c>
      <c r="J6301" s="5">
        <v>850</v>
      </c>
    </row>
    <row r="6302" s="2" customFormat="1" spans="1:10">
      <c r="A6302" s="6">
        <f>6300</f>
        <v>6300</v>
      </c>
      <c r="B6302" s="6" t="s">
        <v>16231</v>
      </c>
      <c r="C6302" s="6" t="s">
        <v>12</v>
      </c>
      <c r="D6302" s="6" t="s">
        <v>16132</v>
      </c>
      <c r="E6302" s="6" t="s">
        <v>16133</v>
      </c>
      <c r="F6302" s="6" t="s">
        <v>16232</v>
      </c>
      <c r="G6302" s="6" t="s">
        <v>16</v>
      </c>
      <c r="H6302" s="5">
        <v>3</v>
      </c>
      <c r="I6302" s="6" t="s">
        <v>16233</v>
      </c>
      <c r="J6302" s="5">
        <v>561</v>
      </c>
    </row>
    <row r="6303" s="2" customFormat="1" spans="1:10">
      <c r="A6303" s="6">
        <f>6301</f>
        <v>6301</v>
      </c>
      <c r="B6303" s="6" t="s">
        <v>16234</v>
      </c>
      <c r="C6303" s="6" t="s">
        <v>12</v>
      </c>
      <c r="D6303" s="6" t="s">
        <v>16132</v>
      </c>
      <c r="E6303" s="6" t="s">
        <v>16133</v>
      </c>
      <c r="F6303" s="6" t="s">
        <v>16235</v>
      </c>
      <c r="G6303" s="6" t="s">
        <v>16</v>
      </c>
      <c r="H6303" s="5">
        <v>3</v>
      </c>
      <c r="I6303" s="6" t="s">
        <v>16236</v>
      </c>
      <c r="J6303" s="5">
        <v>580</v>
      </c>
    </row>
    <row r="6304" s="2" customFormat="1" spans="1:10">
      <c r="A6304" s="6">
        <f>6302</f>
        <v>6302</v>
      </c>
      <c r="B6304" s="6" t="s">
        <v>16237</v>
      </c>
      <c r="C6304" s="6" t="s">
        <v>12</v>
      </c>
      <c r="D6304" s="6" t="s">
        <v>16132</v>
      </c>
      <c r="E6304" s="6" t="s">
        <v>16133</v>
      </c>
      <c r="F6304" s="6" t="s">
        <v>16238</v>
      </c>
      <c r="G6304" s="6" t="s">
        <v>16</v>
      </c>
      <c r="H6304" s="5">
        <v>1</v>
      </c>
      <c r="I6304" s="6" t="s">
        <v>16238</v>
      </c>
      <c r="J6304" s="5">
        <v>260</v>
      </c>
    </row>
    <row r="6305" s="2" customFormat="1" spans="1:10">
      <c r="A6305" s="6">
        <f>6303</f>
        <v>6303</v>
      </c>
      <c r="B6305" s="6" t="s">
        <v>16239</v>
      </c>
      <c r="C6305" s="6" t="s">
        <v>12</v>
      </c>
      <c r="D6305" s="6" t="s">
        <v>16132</v>
      </c>
      <c r="E6305" s="6" t="s">
        <v>16133</v>
      </c>
      <c r="F6305" s="6" t="s">
        <v>11702</v>
      </c>
      <c r="G6305" s="6" t="s">
        <v>16</v>
      </c>
      <c r="H6305" s="5">
        <v>2</v>
      </c>
      <c r="I6305" s="6" t="s">
        <v>16240</v>
      </c>
      <c r="J6305" s="5">
        <v>800</v>
      </c>
    </row>
    <row r="6306" s="2" customFormat="1" spans="1:10">
      <c r="A6306" s="6">
        <f>6304</f>
        <v>6304</v>
      </c>
      <c r="B6306" s="6" t="s">
        <v>16241</v>
      </c>
      <c r="C6306" s="6" t="s">
        <v>12</v>
      </c>
      <c r="D6306" s="6" t="s">
        <v>16132</v>
      </c>
      <c r="E6306" s="6" t="s">
        <v>16133</v>
      </c>
      <c r="F6306" s="6" t="s">
        <v>16242</v>
      </c>
      <c r="G6306" s="6" t="s">
        <v>16</v>
      </c>
      <c r="H6306" s="5">
        <v>1</v>
      </c>
      <c r="I6306" s="6" t="s">
        <v>16242</v>
      </c>
      <c r="J6306" s="5">
        <v>260</v>
      </c>
    </row>
    <row r="6307" s="2" customFormat="1" spans="1:10">
      <c r="A6307" s="6">
        <f>6305</f>
        <v>6305</v>
      </c>
      <c r="B6307" s="6" t="s">
        <v>16243</v>
      </c>
      <c r="C6307" s="6" t="s">
        <v>12</v>
      </c>
      <c r="D6307" s="6" t="s">
        <v>16132</v>
      </c>
      <c r="E6307" s="6" t="s">
        <v>16133</v>
      </c>
      <c r="F6307" s="6" t="s">
        <v>16244</v>
      </c>
      <c r="G6307" s="6" t="s">
        <v>16</v>
      </c>
      <c r="H6307" s="5">
        <v>1</v>
      </c>
      <c r="I6307" s="6" t="s">
        <v>16244</v>
      </c>
      <c r="J6307" s="5">
        <v>345</v>
      </c>
    </row>
    <row r="6308" s="2" customFormat="1" ht="27" spans="1:10">
      <c r="A6308" s="6">
        <f>6306</f>
        <v>6306</v>
      </c>
      <c r="B6308" s="6" t="s">
        <v>16245</v>
      </c>
      <c r="C6308" s="6" t="s">
        <v>12</v>
      </c>
      <c r="D6308" s="6" t="s">
        <v>16132</v>
      </c>
      <c r="E6308" s="6" t="s">
        <v>16133</v>
      </c>
      <c r="F6308" s="6" t="s">
        <v>16246</v>
      </c>
      <c r="G6308" s="6" t="s">
        <v>16</v>
      </c>
      <c r="H6308" s="5">
        <v>5</v>
      </c>
      <c r="I6308" s="6" t="s">
        <v>16247</v>
      </c>
      <c r="J6308" s="5">
        <v>1000</v>
      </c>
    </row>
    <row r="6309" s="2" customFormat="1" ht="27" spans="1:10">
      <c r="A6309" s="6">
        <f>6307</f>
        <v>6307</v>
      </c>
      <c r="B6309" s="6" t="s">
        <v>16248</v>
      </c>
      <c r="C6309" s="6" t="s">
        <v>12</v>
      </c>
      <c r="D6309" s="6" t="s">
        <v>16132</v>
      </c>
      <c r="E6309" s="6" t="s">
        <v>16133</v>
      </c>
      <c r="F6309" s="6" t="s">
        <v>16249</v>
      </c>
      <c r="G6309" s="6" t="s">
        <v>16</v>
      </c>
      <c r="H6309" s="5">
        <v>4</v>
      </c>
      <c r="I6309" s="6" t="s">
        <v>16250</v>
      </c>
      <c r="J6309" s="5">
        <v>935</v>
      </c>
    </row>
    <row r="6310" s="2" customFormat="1" spans="1:10">
      <c r="A6310" s="6">
        <f>6308</f>
        <v>6308</v>
      </c>
      <c r="B6310" s="6" t="s">
        <v>16251</v>
      </c>
      <c r="C6310" s="6" t="s">
        <v>12</v>
      </c>
      <c r="D6310" s="6" t="s">
        <v>16132</v>
      </c>
      <c r="E6310" s="6" t="s">
        <v>16133</v>
      </c>
      <c r="F6310" s="6" t="s">
        <v>16252</v>
      </c>
      <c r="G6310" s="6" t="s">
        <v>16</v>
      </c>
      <c r="H6310" s="5">
        <v>1</v>
      </c>
      <c r="I6310" s="6" t="s">
        <v>16252</v>
      </c>
      <c r="J6310" s="5">
        <v>260</v>
      </c>
    </row>
    <row r="6311" s="2" customFormat="1" spans="1:10">
      <c r="A6311" s="6">
        <f>6309</f>
        <v>6309</v>
      </c>
      <c r="B6311" s="6" t="s">
        <v>16253</v>
      </c>
      <c r="C6311" s="6" t="s">
        <v>12</v>
      </c>
      <c r="D6311" s="6" t="s">
        <v>16132</v>
      </c>
      <c r="E6311" s="6" t="s">
        <v>16133</v>
      </c>
      <c r="F6311" s="6" t="s">
        <v>16254</v>
      </c>
      <c r="G6311" s="6" t="s">
        <v>16</v>
      </c>
      <c r="H6311" s="5">
        <v>2</v>
      </c>
      <c r="I6311" s="6" t="s">
        <v>16255</v>
      </c>
      <c r="J6311" s="5">
        <v>498</v>
      </c>
    </row>
    <row r="6312" s="2" customFormat="1" spans="1:10">
      <c r="A6312" s="6">
        <f>6310</f>
        <v>6310</v>
      </c>
      <c r="B6312" s="6" t="s">
        <v>16256</v>
      </c>
      <c r="C6312" s="6" t="s">
        <v>12</v>
      </c>
      <c r="D6312" s="6" t="s">
        <v>16132</v>
      </c>
      <c r="E6312" s="6" t="s">
        <v>16133</v>
      </c>
      <c r="F6312" s="6" t="s">
        <v>14664</v>
      </c>
      <c r="G6312" s="6" t="s">
        <v>16</v>
      </c>
      <c r="H6312" s="5">
        <v>1</v>
      </c>
      <c r="I6312" s="6" t="s">
        <v>14664</v>
      </c>
      <c r="J6312" s="5">
        <v>260</v>
      </c>
    </row>
    <row r="6313" s="2" customFormat="1" spans="1:10">
      <c r="A6313" s="6">
        <f>6311</f>
        <v>6311</v>
      </c>
      <c r="B6313" s="6" t="s">
        <v>16257</v>
      </c>
      <c r="C6313" s="6" t="s">
        <v>12</v>
      </c>
      <c r="D6313" s="6" t="s">
        <v>16132</v>
      </c>
      <c r="E6313" s="6" t="s">
        <v>16133</v>
      </c>
      <c r="F6313" s="6" t="s">
        <v>16258</v>
      </c>
      <c r="G6313" s="6" t="s">
        <v>16</v>
      </c>
      <c r="H6313" s="5">
        <v>3</v>
      </c>
      <c r="I6313" s="6" t="s">
        <v>16259</v>
      </c>
      <c r="J6313" s="5">
        <v>558</v>
      </c>
    </row>
    <row r="6314" s="2" customFormat="1" ht="27" spans="1:10">
      <c r="A6314" s="6">
        <f>6312</f>
        <v>6312</v>
      </c>
      <c r="B6314" s="6" t="s">
        <v>16260</v>
      </c>
      <c r="C6314" s="6" t="s">
        <v>12</v>
      </c>
      <c r="D6314" s="6" t="s">
        <v>16132</v>
      </c>
      <c r="E6314" s="6" t="s">
        <v>16133</v>
      </c>
      <c r="F6314" s="6" t="s">
        <v>16261</v>
      </c>
      <c r="G6314" s="6" t="s">
        <v>16</v>
      </c>
      <c r="H6314" s="5">
        <v>4</v>
      </c>
      <c r="I6314" s="6" t="s">
        <v>16262</v>
      </c>
      <c r="J6314" s="5">
        <v>660</v>
      </c>
    </row>
    <row r="6315" s="2" customFormat="1" spans="1:10">
      <c r="A6315" s="6">
        <f>6313</f>
        <v>6313</v>
      </c>
      <c r="B6315" s="6" t="s">
        <v>16263</v>
      </c>
      <c r="C6315" s="6" t="s">
        <v>12</v>
      </c>
      <c r="D6315" s="6" t="s">
        <v>16132</v>
      </c>
      <c r="E6315" s="6" t="s">
        <v>16133</v>
      </c>
      <c r="F6315" s="6" t="s">
        <v>16264</v>
      </c>
      <c r="G6315" s="6" t="s">
        <v>16</v>
      </c>
      <c r="H6315" s="5">
        <v>1</v>
      </c>
      <c r="I6315" s="6" t="s">
        <v>16264</v>
      </c>
      <c r="J6315" s="5">
        <v>260</v>
      </c>
    </row>
    <row r="6316" s="2" customFormat="1" spans="1:10">
      <c r="A6316" s="6">
        <f>6314</f>
        <v>6314</v>
      </c>
      <c r="B6316" s="6" t="s">
        <v>16265</v>
      </c>
      <c r="C6316" s="6" t="s">
        <v>12</v>
      </c>
      <c r="D6316" s="6" t="s">
        <v>16132</v>
      </c>
      <c r="E6316" s="6" t="s">
        <v>16133</v>
      </c>
      <c r="F6316" s="6" t="s">
        <v>15823</v>
      </c>
      <c r="G6316" s="6" t="s">
        <v>16</v>
      </c>
      <c r="H6316" s="5">
        <v>1</v>
      </c>
      <c r="I6316" s="6" t="s">
        <v>15823</v>
      </c>
      <c r="J6316" s="5">
        <v>270</v>
      </c>
    </row>
    <row r="6317" s="2" customFormat="1" ht="27" spans="1:10">
      <c r="A6317" s="6">
        <f>6315</f>
        <v>6315</v>
      </c>
      <c r="B6317" s="6" t="s">
        <v>16266</v>
      </c>
      <c r="C6317" s="6" t="s">
        <v>12</v>
      </c>
      <c r="D6317" s="6" t="s">
        <v>16132</v>
      </c>
      <c r="E6317" s="6" t="s">
        <v>16133</v>
      </c>
      <c r="F6317" s="6" t="s">
        <v>16267</v>
      </c>
      <c r="G6317" s="6" t="s">
        <v>16</v>
      </c>
      <c r="H6317" s="5">
        <v>5</v>
      </c>
      <c r="I6317" s="6" t="s">
        <v>16268</v>
      </c>
      <c r="J6317" s="5">
        <v>1100</v>
      </c>
    </row>
    <row r="6318" s="2" customFormat="1" spans="1:10">
      <c r="A6318" s="6">
        <f>6316</f>
        <v>6316</v>
      </c>
      <c r="B6318" s="6" t="s">
        <v>16269</v>
      </c>
      <c r="C6318" s="6" t="s">
        <v>12</v>
      </c>
      <c r="D6318" s="6" t="s">
        <v>16132</v>
      </c>
      <c r="E6318" s="6" t="s">
        <v>16133</v>
      </c>
      <c r="F6318" s="6" t="s">
        <v>16270</v>
      </c>
      <c r="G6318" s="6" t="s">
        <v>16</v>
      </c>
      <c r="H6318" s="5">
        <v>1</v>
      </c>
      <c r="I6318" s="6" t="s">
        <v>16270</v>
      </c>
      <c r="J6318" s="5">
        <v>260</v>
      </c>
    </row>
    <row r="6319" s="2" customFormat="1" ht="27" spans="1:10">
      <c r="A6319" s="6">
        <f>6317</f>
        <v>6317</v>
      </c>
      <c r="B6319" s="6" t="s">
        <v>16271</v>
      </c>
      <c r="C6319" s="6" t="s">
        <v>12</v>
      </c>
      <c r="D6319" s="6" t="s">
        <v>16132</v>
      </c>
      <c r="E6319" s="6" t="s">
        <v>16133</v>
      </c>
      <c r="F6319" s="6" t="s">
        <v>16272</v>
      </c>
      <c r="G6319" s="6" t="s">
        <v>16</v>
      </c>
      <c r="H6319" s="5">
        <v>4</v>
      </c>
      <c r="I6319" s="6" t="s">
        <v>16273</v>
      </c>
      <c r="J6319" s="5">
        <v>748</v>
      </c>
    </row>
    <row r="6320" s="2" customFormat="1" spans="1:10">
      <c r="A6320" s="6">
        <f>6318</f>
        <v>6318</v>
      </c>
      <c r="B6320" s="6" t="s">
        <v>16274</v>
      </c>
      <c r="C6320" s="6" t="s">
        <v>12</v>
      </c>
      <c r="D6320" s="6" t="s">
        <v>16132</v>
      </c>
      <c r="E6320" s="6" t="s">
        <v>16133</v>
      </c>
      <c r="F6320" s="6" t="s">
        <v>16275</v>
      </c>
      <c r="G6320" s="6" t="s">
        <v>16</v>
      </c>
      <c r="H6320" s="5">
        <v>1</v>
      </c>
      <c r="I6320" s="6" t="s">
        <v>16275</v>
      </c>
      <c r="J6320" s="5">
        <v>380</v>
      </c>
    </row>
    <row r="6321" s="2" customFormat="1" spans="1:10">
      <c r="A6321" s="6">
        <f>6319</f>
        <v>6319</v>
      </c>
      <c r="B6321" s="6" t="s">
        <v>16276</v>
      </c>
      <c r="C6321" s="6" t="s">
        <v>12</v>
      </c>
      <c r="D6321" s="6" t="s">
        <v>16132</v>
      </c>
      <c r="E6321" s="6" t="s">
        <v>16133</v>
      </c>
      <c r="F6321" s="6" t="s">
        <v>12405</v>
      </c>
      <c r="G6321" s="6" t="s">
        <v>16</v>
      </c>
      <c r="H6321" s="5">
        <v>1</v>
      </c>
      <c r="I6321" s="6" t="s">
        <v>12405</v>
      </c>
      <c r="J6321" s="5">
        <v>260</v>
      </c>
    </row>
    <row r="6322" s="2" customFormat="1" spans="1:10">
      <c r="A6322" s="6">
        <f>6320</f>
        <v>6320</v>
      </c>
      <c r="B6322" s="6" t="s">
        <v>16277</v>
      </c>
      <c r="C6322" s="6" t="s">
        <v>12</v>
      </c>
      <c r="D6322" s="6" t="s">
        <v>16132</v>
      </c>
      <c r="E6322" s="6" t="s">
        <v>16133</v>
      </c>
      <c r="F6322" s="6" t="s">
        <v>16278</v>
      </c>
      <c r="G6322" s="6" t="s">
        <v>16</v>
      </c>
      <c r="H6322" s="5">
        <v>1</v>
      </c>
      <c r="I6322" s="6" t="s">
        <v>16278</v>
      </c>
      <c r="J6322" s="5">
        <v>380</v>
      </c>
    </row>
    <row r="6323" s="2" customFormat="1" spans="1:10">
      <c r="A6323" s="6">
        <f>6321</f>
        <v>6321</v>
      </c>
      <c r="B6323" s="6" t="s">
        <v>16279</v>
      </c>
      <c r="C6323" s="6" t="s">
        <v>12</v>
      </c>
      <c r="D6323" s="6" t="s">
        <v>16132</v>
      </c>
      <c r="E6323" s="6" t="s">
        <v>16133</v>
      </c>
      <c r="F6323" s="6" t="s">
        <v>16280</v>
      </c>
      <c r="G6323" s="6" t="s">
        <v>16</v>
      </c>
      <c r="H6323" s="5">
        <v>3</v>
      </c>
      <c r="I6323" s="6" t="s">
        <v>16281</v>
      </c>
      <c r="J6323" s="5">
        <v>561</v>
      </c>
    </row>
    <row r="6324" s="2" customFormat="1" spans="1:10">
      <c r="A6324" s="6">
        <f>6322</f>
        <v>6322</v>
      </c>
      <c r="B6324" s="6" t="s">
        <v>16282</v>
      </c>
      <c r="C6324" s="6" t="s">
        <v>12</v>
      </c>
      <c r="D6324" s="6" t="s">
        <v>16132</v>
      </c>
      <c r="E6324" s="6" t="s">
        <v>16133</v>
      </c>
      <c r="F6324" s="6" t="s">
        <v>16283</v>
      </c>
      <c r="G6324" s="6" t="s">
        <v>16</v>
      </c>
      <c r="H6324" s="5">
        <v>2</v>
      </c>
      <c r="I6324" s="6" t="s">
        <v>16284</v>
      </c>
      <c r="J6324" s="5">
        <v>320</v>
      </c>
    </row>
    <row r="6325" s="2" customFormat="1" spans="1:10">
      <c r="A6325" s="6">
        <f>6323</f>
        <v>6323</v>
      </c>
      <c r="B6325" s="6" t="s">
        <v>16285</v>
      </c>
      <c r="C6325" s="6" t="s">
        <v>12</v>
      </c>
      <c r="D6325" s="6" t="s">
        <v>16132</v>
      </c>
      <c r="E6325" s="6" t="s">
        <v>16133</v>
      </c>
      <c r="F6325" s="6" t="s">
        <v>16286</v>
      </c>
      <c r="G6325" s="6" t="s">
        <v>16</v>
      </c>
      <c r="H6325" s="5">
        <v>1</v>
      </c>
      <c r="I6325" s="6" t="s">
        <v>16286</v>
      </c>
      <c r="J6325" s="5">
        <v>260</v>
      </c>
    </row>
    <row r="6326" s="2" customFormat="1" spans="1:10">
      <c r="A6326" s="6">
        <f>6324</f>
        <v>6324</v>
      </c>
      <c r="B6326" s="6" t="s">
        <v>16287</v>
      </c>
      <c r="C6326" s="6" t="s">
        <v>12</v>
      </c>
      <c r="D6326" s="6" t="s">
        <v>16132</v>
      </c>
      <c r="E6326" s="6" t="s">
        <v>16133</v>
      </c>
      <c r="F6326" s="6" t="s">
        <v>16288</v>
      </c>
      <c r="G6326" s="6" t="s">
        <v>16</v>
      </c>
      <c r="H6326" s="5">
        <v>1</v>
      </c>
      <c r="I6326" s="6" t="s">
        <v>16288</v>
      </c>
      <c r="J6326" s="5">
        <v>233</v>
      </c>
    </row>
    <row r="6327" s="2" customFormat="1" spans="1:10">
      <c r="A6327" s="6">
        <f>6325</f>
        <v>6325</v>
      </c>
      <c r="B6327" s="6" t="s">
        <v>16289</v>
      </c>
      <c r="C6327" s="6" t="s">
        <v>12</v>
      </c>
      <c r="D6327" s="6" t="s">
        <v>16132</v>
      </c>
      <c r="E6327" s="6" t="s">
        <v>16133</v>
      </c>
      <c r="F6327" s="6" t="s">
        <v>16290</v>
      </c>
      <c r="G6327" s="6" t="s">
        <v>16</v>
      </c>
      <c r="H6327" s="5">
        <v>1</v>
      </c>
      <c r="I6327" s="6" t="s">
        <v>16290</v>
      </c>
      <c r="J6327" s="5">
        <v>260</v>
      </c>
    </row>
    <row r="6328" s="2" customFormat="1" spans="1:10">
      <c r="A6328" s="6">
        <f>6326</f>
        <v>6326</v>
      </c>
      <c r="B6328" s="6" t="s">
        <v>16291</v>
      </c>
      <c r="C6328" s="6" t="s">
        <v>12</v>
      </c>
      <c r="D6328" s="6" t="s">
        <v>16132</v>
      </c>
      <c r="E6328" s="6" t="s">
        <v>16133</v>
      </c>
      <c r="F6328" s="6" t="s">
        <v>16292</v>
      </c>
      <c r="G6328" s="6" t="s">
        <v>16</v>
      </c>
      <c r="H6328" s="5">
        <v>2</v>
      </c>
      <c r="I6328" s="6" t="s">
        <v>16293</v>
      </c>
      <c r="J6328" s="5">
        <v>720</v>
      </c>
    </row>
    <row r="6329" s="2" customFormat="1" ht="27" spans="1:10">
      <c r="A6329" s="6">
        <f>6327</f>
        <v>6327</v>
      </c>
      <c r="B6329" s="6" t="s">
        <v>16294</v>
      </c>
      <c r="C6329" s="6" t="s">
        <v>12</v>
      </c>
      <c r="D6329" s="6" t="s">
        <v>16132</v>
      </c>
      <c r="E6329" s="6" t="s">
        <v>16133</v>
      </c>
      <c r="F6329" s="6" t="s">
        <v>16295</v>
      </c>
      <c r="G6329" s="6" t="s">
        <v>16</v>
      </c>
      <c r="H6329" s="5">
        <v>4</v>
      </c>
      <c r="I6329" s="6" t="s">
        <v>16296</v>
      </c>
      <c r="J6329" s="5">
        <v>746</v>
      </c>
    </row>
    <row r="6330" s="2" customFormat="1" spans="1:10">
      <c r="A6330" s="6">
        <f>6328</f>
        <v>6328</v>
      </c>
      <c r="B6330" s="6" t="s">
        <v>16297</v>
      </c>
      <c r="C6330" s="6" t="s">
        <v>12</v>
      </c>
      <c r="D6330" s="6" t="s">
        <v>16132</v>
      </c>
      <c r="E6330" s="6" t="s">
        <v>16298</v>
      </c>
      <c r="F6330" s="6" t="s">
        <v>16299</v>
      </c>
      <c r="G6330" s="6" t="s">
        <v>16</v>
      </c>
      <c r="H6330" s="5">
        <v>2</v>
      </c>
      <c r="I6330" s="6" t="s">
        <v>16300</v>
      </c>
      <c r="J6330" s="5">
        <v>570</v>
      </c>
    </row>
    <row r="6331" s="2" customFormat="1" spans="1:10">
      <c r="A6331" s="6">
        <f>6329</f>
        <v>6329</v>
      </c>
      <c r="B6331" s="6" t="s">
        <v>16301</v>
      </c>
      <c r="C6331" s="6" t="s">
        <v>12</v>
      </c>
      <c r="D6331" s="6" t="s">
        <v>16132</v>
      </c>
      <c r="E6331" s="6" t="s">
        <v>16298</v>
      </c>
      <c r="F6331" s="6" t="s">
        <v>5840</v>
      </c>
      <c r="G6331" s="6" t="s">
        <v>16</v>
      </c>
      <c r="H6331" s="5">
        <v>1</v>
      </c>
      <c r="I6331" s="6" t="s">
        <v>5840</v>
      </c>
      <c r="J6331" s="5">
        <v>360</v>
      </c>
    </row>
    <row r="6332" s="2" customFormat="1" spans="1:10">
      <c r="A6332" s="6">
        <f>6330</f>
        <v>6330</v>
      </c>
      <c r="B6332" s="6" t="s">
        <v>16302</v>
      </c>
      <c r="C6332" s="6" t="s">
        <v>12</v>
      </c>
      <c r="D6332" s="6" t="s">
        <v>16132</v>
      </c>
      <c r="E6332" s="6" t="s">
        <v>16298</v>
      </c>
      <c r="F6332" s="6" t="s">
        <v>16303</v>
      </c>
      <c r="G6332" s="6" t="s">
        <v>16</v>
      </c>
      <c r="H6332" s="5">
        <v>3</v>
      </c>
      <c r="I6332" s="6" t="s">
        <v>16304</v>
      </c>
      <c r="J6332" s="5">
        <v>1620</v>
      </c>
    </row>
    <row r="6333" s="2" customFormat="1" ht="27" spans="1:10">
      <c r="A6333" s="6">
        <f>6331</f>
        <v>6331</v>
      </c>
      <c r="B6333" s="6" t="s">
        <v>16305</v>
      </c>
      <c r="C6333" s="6" t="s">
        <v>12</v>
      </c>
      <c r="D6333" s="6" t="s">
        <v>16132</v>
      </c>
      <c r="E6333" s="6" t="s">
        <v>16298</v>
      </c>
      <c r="F6333" s="6" t="s">
        <v>16306</v>
      </c>
      <c r="G6333" s="6" t="s">
        <v>16</v>
      </c>
      <c r="H6333" s="5">
        <v>4</v>
      </c>
      <c r="I6333" s="6" t="s">
        <v>16307</v>
      </c>
      <c r="J6333" s="5">
        <v>740</v>
      </c>
    </row>
    <row r="6334" s="2" customFormat="1" spans="1:10">
      <c r="A6334" s="6">
        <f>6332</f>
        <v>6332</v>
      </c>
      <c r="B6334" s="6" t="s">
        <v>16308</v>
      </c>
      <c r="C6334" s="6" t="s">
        <v>12</v>
      </c>
      <c r="D6334" s="6" t="s">
        <v>16132</v>
      </c>
      <c r="E6334" s="6" t="s">
        <v>16298</v>
      </c>
      <c r="F6334" s="6" t="s">
        <v>16309</v>
      </c>
      <c r="G6334" s="6" t="s">
        <v>16</v>
      </c>
      <c r="H6334" s="5">
        <v>3</v>
      </c>
      <c r="I6334" s="6" t="s">
        <v>16310</v>
      </c>
      <c r="J6334" s="5">
        <v>1200</v>
      </c>
    </row>
    <row r="6335" s="2" customFormat="1" spans="1:10">
      <c r="A6335" s="6">
        <f>6333</f>
        <v>6333</v>
      </c>
      <c r="B6335" s="6" t="s">
        <v>16311</v>
      </c>
      <c r="C6335" s="6" t="s">
        <v>12</v>
      </c>
      <c r="D6335" s="6" t="s">
        <v>16132</v>
      </c>
      <c r="E6335" s="6" t="s">
        <v>16298</v>
      </c>
      <c r="F6335" s="6" t="s">
        <v>16312</v>
      </c>
      <c r="G6335" s="6" t="s">
        <v>16</v>
      </c>
      <c r="H6335" s="5">
        <v>1</v>
      </c>
      <c r="I6335" s="6" t="s">
        <v>16312</v>
      </c>
      <c r="J6335" s="5">
        <v>620</v>
      </c>
    </row>
    <row r="6336" s="2" customFormat="1" ht="27" spans="1:10">
      <c r="A6336" s="6">
        <f>6334</f>
        <v>6334</v>
      </c>
      <c r="B6336" s="6" t="s">
        <v>16313</v>
      </c>
      <c r="C6336" s="6" t="s">
        <v>12</v>
      </c>
      <c r="D6336" s="6" t="s">
        <v>16132</v>
      </c>
      <c r="E6336" s="6" t="s">
        <v>16298</v>
      </c>
      <c r="F6336" s="6" t="s">
        <v>16314</v>
      </c>
      <c r="G6336" s="6" t="s">
        <v>16</v>
      </c>
      <c r="H6336" s="5">
        <v>5</v>
      </c>
      <c r="I6336" s="6" t="s">
        <v>16315</v>
      </c>
      <c r="J6336" s="5">
        <v>2040</v>
      </c>
    </row>
    <row r="6337" s="2" customFormat="1" spans="1:10">
      <c r="A6337" s="6">
        <f>6335</f>
        <v>6335</v>
      </c>
      <c r="B6337" s="6" t="s">
        <v>16316</v>
      </c>
      <c r="C6337" s="6" t="s">
        <v>12</v>
      </c>
      <c r="D6337" s="6" t="s">
        <v>16132</v>
      </c>
      <c r="E6337" s="6" t="s">
        <v>16298</v>
      </c>
      <c r="F6337" s="6" t="s">
        <v>16317</v>
      </c>
      <c r="G6337" s="6" t="s">
        <v>16</v>
      </c>
      <c r="H6337" s="5">
        <v>3</v>
      </c>
      <c r="I6337" s="6" t="s">
        <v>16318</v>
      </c>
      <c r="J6337" s="5">
        <v>1800</v>
      </c>
    </row>
    <row r="6338" s="2" customFormat="1" spans="1:10">
      <c r="A6338" s="6">
        <f>6336</f>
        <v>6336</v>
      </c>
      <c r="B6338" s="6" t="s">
        <v>16319</v>
      </c>
      <c r="C6338" s="6" t="s">
        <v>12</v>
      </c>
      <c r="D6338" s="6" t="s">
        <v>16132</v>
      </c>
      <c r="E6338" s="6" t="s">
        <v>16298</v>
      </c>
      <c r="F6338" s="6" t="s">
        <v>16320</v>
      </c>
      <c r="G6338" s="6" t="s">
        <v>16</v>
      </c>
      <c r="H6338" s="5">
        <v>1</v>
      </c>
      <c r="I6338" s="6" t="s">
        <v>16320</v>
      </c>
      <c r="J6338" s="5">
        <v>570</v>
      </c>
    </row>
    <row r="6339" s="2" customFormat="1" spans="1:10">
      <c r="A6339" s="6">
        <f>6337</f>
        <v>6337</v>
      </c>
      <c r="B6339" s="6" t="s">
        <v>16321</v>
      </c>
      <c r="C6339" s="6" t="s">
        <v>12</v>
      </c>
      <c r="D6339" s="6" t="s">
        <v>16132</v>
      </c>
      <c r="E6339" s="6" t="s">
        <v>16298</v>
      </c>
      <c r="F6339" s="6" t="s">
        <v>16322</v>
      </c>
      <c r="G6339" s="6" t="s">
        <v>16</v>
      </c>
      <c r="H6339" s="5">
        <v>3</v>
      </c>
      <c r="I6339" s="6" t="s">
        <v>16323</v>
      </c>
      <c r="J6339" s="5">
        <v>1100</v>
      </c>
    </row>
    <row r="6340" s="2" customFormat="1" spans="1:10">
      <c r="A6340" s="6">
        <f>6338</f>
        <v>6338</v>
      </c>
      <c r="B6340" s="6" t="s">
        <v>16324</v>
      </c>
      <c r="C6340" s="6" t="s">
        <v>12</v>
      </c>
      <c r="D6340" s="6" t="s">
        <v>16132</v>
      </c>
      <c r="E6340" s="6" t="s">
        <v>16298</v>
      </c>
      <c r="F6340" s="6" t="s">
        <v>16325</v>
      </c>
      <c r="G6340" s="6" t="s">
        <v>16</v>
      </c>
      <c r="H6340" s="5">
        <v>2</v>
      </c>
      <c r="I6340" s="6" t="s">
        <v>16326</v>
      </c>
      <c r="J6340" s="5">
        <v>800</v>
      </c>
    </row>
    <row r="6341" s="2" customFormat="1" ht="40.5" spans="1:10">
      <c r="A6341" s="6">
        <f>6339</f>
        <v>6339</v>
      </c>
      <c r="B6341" s="6" t="s">
        <v>16327</v>
      </c>
      <c r="C6341" s="6" t="s">
        <v>12</v>
      </c>
      <c r="D6341" s="6" t="s">
        <v>16132</v>
      </c>
      <c r="E6341" s="6" t="s">
        <v>16298</v>
      </c>
      <c r="F6341" s="6" t="s">
        <v>16328</v>
      </c>
      <c r="G6341" s="6" t="s">
        <v>16</v>
      </c>
      <c r="H6341" s="5">
        <v>7</v>
      </c>
      <c r="I6341" s="6" t="s">
        <v>16329</v>
      </c>
      <c r="J6341" s="5">
        <v>3650</v>
      </c>
    </row>
    <row r="6342" s="2" customFormat="1" spans="1:10">
      <c r="A6342" s="6">
        <f>6340</f>
        <v>6340</v>
      </c>
      <c r="B6342" s="6" t="s">
        <v>16330</v>
      </c>
      <c r="C6342" s="6" t="s">
        <v>12</v>
      </c>
      <c r="D6342" s="6" t="s">
        <v>16132</v>
      </c>
      <c r="E6342" s="6" t="s">
        <v>16298</v>
      </c>
      <c r="F6342" s="6" t="s">
        <v>16331</v>
      </c>
      <c r="G6342" s="6" t="s">
        <v>16</v>
      </c>
      <c r="H6342" s="5">
        <v>1</v>
      </c>
      <c r="I6342" s="6" t="s">
        <v>16331</v>
      </c>
      <c r="J6342" s="5">
        <v>490</v>
      </c>
    </row>
    <row r="6343" s="2" customFormat="1" spans="1:10">
      <c r="A6343" s="6">
        <f>6341</f>
        <v>6341</v>
      </c>
      <c r="B6343" s="6" t="s">
        <v>16332</v>
      </c>
      <c r="C6343" s="6" t="s">
        <v>12</v>
      </c>
      <c r="D6343" s="6" t="s">
        <v>16132</v>
      </c>
      <c r="E6343" s="6" t="s">
        <v>16298</v>
      </c>
      <c r="F6343" s="6" t="s">
        <v>16333</v>
      </c>
      <c r="G6343" s="6" t="s">
        <v>16</v>
      </c>
      <c r="H6343" s="5">
        <v>2</v>
      </c>
      <c r="I6343" s="6" t="s">
        <v>16334</v>
      </c>
      <c r="J6343" s="5">
        <v>800</v>
      </c>
    </row>
    <row r="6344" s="2" customFormat="1" spans="1:10">
      <c r="A6344" s="6">
        <f>6342</f>
        <v>6342</v>
      </c>
      <c r="B6344" s="6" t="s">
        <v>16335</v>
      </c>
      <c r="C6344" s="6" t="s">
        <v>12</v>
      </c>
      <c r="D6344" s="6" t="s">
        <v>16132</v>
      </c>
      <c r="E6344" s="6" t="s">
        <v>16298</v>
      </c>
      <c r="F6344" s="6" t="s">
        <v>16336</v>
      </c>
      <c r="G6344" s="6" t="s">
        <v>16</v>
      </c>
      <c r="H6344" s="5">
        <v>1</v>
      </c>
      <c r="I6344" s="6" t="s">
        <v>16336</v>
      </c>
      <c r="J6344" s="5">
        <v>620</v>
      </c>
    </row>
    <row r="6345" s="2" customFormat="1" spans="1:10">
      <c r="A6345" s="6">
        <f>6343</f>
        <v>6343</v>
      </c>
      <c r="B6345" s="6" t="s">
        <v>16337</v>
      </c>
      <c r="C6345" s="6" t="s">
        <v>12</v>
      </c>
      <c r="D6345" s="6" t="s">
        <v>16132</v>
      </c>
      <c r="E6345" s="6" t="s">
        <v>16298</v>
      </c>
      <c r="F6345" s="6" t="s">
        <v>16338</v>
      </c>
      <c r="G6345" s="6" t="s">
        <v>16</v>
      </c>
      <c r="H6345" s="5">
        <v>1</v>
      </c>
      <c r="I6345" s="6" t="s">
        <v>16338</v>
      </c>
      <c r="J6345" s="5">
        <v>620</v>
      </c>
    </row>
    <row r="6346" s="2" customFormat="1" spans="1:10">
      <c r="A6346" s="6">
        <f>6344</f>
        <v>6344</v>
      </c>
      <c r="B6346" s="6" t="s">
        <v>16339</v>
      </c>
      <c r="C6346" s="6" t="s">
        <v>12</v>
      </c>
      <c r="D6346" s="6" t="s">
        <v>16132</v>
      </c>
      <c r="E6346" s="6" t="s">
        <v>16298</v>
      </c>
      <c r="F6346" s="6" t="s">
        <v>16340</v>
      </c>
      <c r="G6346" s="6" t="s">
        <v>16</v>
      </c>
      <c r="H6346" s="5">
        <v>1</v>
      </c>
      <c r="I6346" s="6" t="s">
        <v>16340</v>
      </c>
      <c r="J6346" s="5">
        <v>620</v>
      </c>
    </row>
    <row r="6347" s="2" customFormat="1" ht="27" spans="1:10">
      <c r="A6347" s="6">
        <f>6345</f>
        <v>6345</v>
      </c>
      <c r="B6347" s="6" t="s">
        <v>16341</v>
      </c>
      <c r="C6347" s="6" t="s">
        <v>12</v>
      </c>
      <c r="D6347" s="6" t="s">
        <v>16132</v>
      </c>
      <c r="E6347" s="6" t="s">
        <v>16298</v>
      </c>
      <c r="F6347" s="6" t="s">
        <v>16342</v>
      </c>
      <c r="G6347" s="6" t="s">
        <v>16</v>
      </c>
      <c r="H6347" s="5">
        <v>5</v>
      </c>
      <c r="I6347" s="6" t="s">
        <v>16343</v>
      </c>
      <c r="J6347" s="5">
        <v>1000</v>
      </c>
    </row>
    <row r="6348" s="2" customFormat="1" ht="27" spans="1:10">
      <c r="A6348" s="6">
        <f>6346</f>
        <v>6346</v>
      </c>
      <c r="B6348" s="6" t="s">
        <v>16344</v>
      </c>
      <c r="C6348" s="6" t="s">
        <v>12</v>
      </c>
      <c r="D6348" s="6" t="s">
        <v>16132</v>
      </c>
      <c r="E6348" s="6" t="s">
        <v>16298</v>
      </c>
      <c r="F6348" s="6" t="s">
        <v>16345</v>
      </c>
      <c r="G6348" s="6" t="s">
        <v>16</v>
      </c>
      <c r="H6348" s="5">
        <v>4</v>
      </c>
      <c r="I6348" s="6" t="s">
        <v>16346</v>
      </c>
      <c r="J6348" s="5">
        <v>940</v>
      </c>
    </row>
    <row r="6349" s="2" customFormat="1" ht="27" spans="1:10">
      <c r="A6349" s="6">
        <f>6347</f>
        <v>6347</v>
      </c>
      <c r="B6349" s="6" t="s">
        <v>16347</v>
      </c>
      <c r="C6349" s="6" t="s">
        <v>12</v>
      </c>
      <c r="D6349" s="6" t="s">
        <v>16132</v>
      </c>
      <c r="E6349" s="6" t="s">
        <v>16298</v>
      </c>
      <c r="F6349" s="6" t="s">
        <v>16348</v>
      </c>
      <c r="G6349" s="6" t="s">
        <v>16</v>
      </c>
      <c r="H6349" s="5">
        <v>5</v>
      </c>
      <c r="I6349" s="6" t="s">
        <v>16349</v>
      </c>
      <c r="J6349" s="5">
        <v>700</v>
      </c>
    </row>
    <row r="6350" s="2" customFormat="1" spans="1:10">
      <c r="A6350" s="6">
        <f>6348</f>
        <v>6348</v>
      </c>
      <c r="B6350" s="6" t="s">
        <v>16350</v>
      </c>
      <c r="C6350" s="6" t="s">
        <v>12</v>
      </c>
      <c r="D6350" s="6" t="s">
        <v>16132</v>
      </c>
      <c r="E6350" s="6" t="s">
        <v>16298</v>
      </c>
      <c r="F6350" s="6" t="s">
        <v>16351</v>
      </c>
      <c r="G6350" s="6" t="s">
        <v>16</v>
      </c>
      <c r="H6350" s="5">
        <v>1</v>
      </c>
      <c r="I6350" s="6" t="s">
        <v>16351</v>
      </c>
      <c r="J6350" s="5">
        <v>620</v>
      </c>
    </row>
    <row r="6351" s="2" customFormat="1" ht="27" spans="1:10">
      <c r="A6351" s="6">
        <f>6349</f>
        <v>6349</v>
      </c>
      <c r="B6351" s="6" t="s">
        <v>16352</v>
      </c>
      <c r="C6351" s="6" t="s">
        <v>12</v>
      </c>
      <c r="D6351" s="6" t="s">
        <v>16132</v>
      </c>
      <c r="E6351" s="6" t="s">
        <v>16298</v>
      </c>
      <c r="F6351" s="6" t="s">
        <v>16353</v>
      </c>
      <c r="G6351" s="6" t="s">
        <v>16</v>
      </c>
      <c r="H6351" s="5">
        <v>4</v>
      </c>
      <c r="I6351" s="6" t="s">
        <v>16354</v>
      </c>
      <c r="J6351" s="5">
        <v>460</v>
      </c>
    </row>
    <row r="6352" s="2" customFormat="1" spans="1:10">
      <c r="A6352" s="6">
        <f>6350</f>
        <v>6350</v>
      </c>
      <c r="B6352" s="6" t="s">
        <v>16355</v>
      </c>
      <c r="C6352" s="6" t="s">
        <v>12</v>
      </c>
      <c r="D6352" s="6" t="s">
        <v>16132</v>
      </c>
      <c r="E6352" s="6" t="s">
        <v>16298</v>
      </c>
      <c r="F6352" s="6" t="s">
        <v>16356</v>
      </c>
      <c r="G6352" s="6" t="s">
        <v>16</v>
      </c>
      <c r="H6352" s="5">
        <v>3</v>
      </c>
      <c r="I6352" s="6" t="s">
        <v>16357</v>
      </c>
      <c r="J6352" s="5">
        <v>850</v>
      </c>
    </row>
    <row r="6353" s="2" customFormat="1" spans="1:10">
      <c r="A6353" s="6">
        <f>6351</f>
        <v>6351</v>
      </c>
      <c r="B6353" s="6" t="s">
        <v>16358</v>
      </c>
      <c r="C6353" s="6" t="s">
        <v>12</v>
      </c>
      <c r="D6353" s="6" t="s">
        <v>16132</v>
      </c>
      <c r="E6353" s="6" t="s">
        <v>16298</v>
      </c>
      <c r="F6353" s="6" t="s">
        <v>16359</v>
      </c>
      <c r="G6353" s="6" t="s">
        <v>16</v>
      </c>
      <c r="H6353" s="5">
        <v>1</v>
      </c>
      <c r="I6353" s="6" t="s">
        <v>16359</v>
      </c>
      <c r="J6353" s="5">
        <v>620</v>
      </c>
    </row>
    <row r="6354" s="2" customFormat="1" spans="1:10">
      <c r="A6354" s="6">
        <f>6352</f>
        <v>6352</v>
      </c>
      <c r="B6354" s="6" t="s">
        <v>16360</v>
      </c>
      <c r="C6354" s="6" t="s">
        <v>12</v>
      </c>
      <c r="D6354" s="6" t="s">
        <v>16132</v>
      </c>
      <c r="E6354" s="6" t="s">
        <v>16298</v>
      </c>
      <c r="F6354" s="6" t="s">
        <v>16361</v>
      </c>
      <c r="G6354" s="6" t="s">
        <v>16</v>
      </c>
      <c r="H6354" s="5">
        <v>1</v>
      </c>
      <c r="I6354" s="6" t="s">
        <v>16361</v>
      </c>
      <c r="J6354" s="5">
        <v>500</v>
      </c>
    </row>
    <row r="6355" s="2" customFormat="1" ht="27" spans="1:10">
      <c r="A6355" s="6">
        <f>6353</f>
        <v>6353</v>
      </c>
      <c r="B6355" s="6" t="s">
        <v>16362</v>
      </c>
      <c r="C6355" s="6" t="s">
        <v>12</v>
      </c>
      <c r="D6355" s="6" t="s">
        <v>16132</v>
      </c>
      <c r="E6355" s="6" t="s">
        <v>16298</v>
      </c>
      <c r="F6355" s="6" t="s">
        <v>16363</v>
      </c>
      <c r="G6355" s="6" t="s">
        <v>16</v>
      </c>
      <c r="H6355" s="5">
        <v>4</v>
      </c>
      <c r="I6355" s="6" t="s">
        <v>16364</v>
      </c>
      <c r="J6355" s="5">
        <v>460</v>
      </c>
    </row>
    <row r="6356" s="2" customFormat="1" spans="1:10">
      <c r="A6356" s="6">
        <f>6354</f>
        <v>6354</v>
      </c>
      <c r="B6356" s="6" t="s">
        <v>16365</v>
      </c>
      <c r="C6356" s="6" t="s">
        <v>12</v>
      </c>
      <c r="D6356" s="6" t="s">
        <v>16132</v>
      </c>
      <c r="E6356" s="6" t="s">
        <v>16298</v>
      </c>
      <c r="F6356" s="6" t="s">
        <v>16366</v>
      </c>
      <c r="G6356" s="6" t="s">
        <v>16</v>
      </c>
      <c r="H6356" s="5">
        <v>2</v>
      </c>
      <c r="I6356" s="6" t="s">
        <v>16367</v>
      </c>
      <c r="J6356" s="5">
        <v>520</v>
      </c>
    </row>
    <row r="6357" s="2" customFormat="1" spans="1:10">
      <c r="A6357" s="6">
        <f>6355</f>
        <v>6355</v>
      </c>
      <c r="B6357" s="6" t="s">
        <v>16368</v>
      </c>
      <c r="C6357" s="6" t="s">
        <v>12</v>
      </c>
      <c r="D6357" s="6" t="s">
        <v>16132</v>
      </c>
      <c r="E6357" s="6" t="s">
        <v>16369</v>
      </c>
      <c r="F6357" s="6" t="s">
        <v>16370</v>
      </c>
      <c r="G6357" s="6" t="s">
        <v>16</v>
      </c>
      <c r="H6357" s="5">
        <v>2</v>
      </c>
      <c r="I6357" s="6" t="s">
        <v>16371</v>
      </c>
      <c r="J6357" s="5">
        <v>820</v>
      </c>
    </row>
    <row r="6358" s="2" customFormat="1" ht="27" spans="1:10">
      <c r="A6358" s="6">
        <f>6356</f>
        <v>6356</v>
      </c>
      <c r="B6358" s="6" t="s">
        <v>16372</v>
      </c>
      <c r="C6358" s="6" t="s">
        <v>12</v>
      </c>
      <c r="D6358" s="6" t="s">
        <v>16132</v>
      </c>
      <c r="E6358" s="6" t="s">
        <v>16369</v>
      </c>
      <c r="F6358" s="6" t="s">
        <v>16373</v>
      </c>
      <c r="G6358" s="6" t="s">
        <v>16</v>
      </c>
      <c r="H6358" s="5">
        <v>6</v>
      </c>
      <c r="I6358" s="6" t="s">
        <v>16374</v>
      </c>
      <c r="J6358" s="5">
        <v>1560</v>
      </c>
    </row>
    <row r="6359" s="2" customFormat="1" spans="1:10">
      <c r="A6359" s="6">
        <f>6357</f>
        <v>6357</v>
      </c>
      <c r="B6359" s="6" t="s">
        <v>16375</v>
      </c>
      <c r="C6359" s="6" t="s">
        <v>12</v>
      </c>
      <c r="D6359" s="6" t="s">
        <v>16132</v>
      </c>
      <c r="E6359" s="6" t="s">
        <v>16369</v>
      </c>
      <c r="F6359" s="6" t="s">
        <v>16376</v>
      </c>
      <c r="G6359" s="6" t="s">
        <v>16</v>
      </c>
      <c r="H6359" s="5">
        <v>2</v>
      </c>
      <c r="I6359" s="6" t="s">
        <v>16377</v>
      </c>
      <c r="J6359" s="5">
        <v>1080</v>
      </c>
    </row>
    <row r="6360" s="2" customFormat="1" spans="1:10">
      <c r="A6360" s="6">
        <f>6358</f>
        <v>6358</v>
      </c>
      <c r="B6360" s="6" t="s">
        <v>16378</v>
      </c>
      <c r="C6360" s="6" t="s">
        <v>12</v>
      </c>
      <c r="D6360" s="6" t="s">
        <v>16132</v>
      </c>
      <c r="E6360" s="6" t="s">
        <v>16369</v>
      </c>
      <c r="F6360" s="6" t="s">
        <v>16379</v>
      </c>
      <c r="G6360" s="6" t="s">
        <v>16</v>
      </c>
      <c r="H6360" s="5">
        <v>3</v>
      </c>
      <c r="I6360" s="6" t="s">
        <v>16380</v>
      </c>
      <c r="J6360" s="5">
        <v>1620</v>
      </c>
    </row>
    <row r="6361" s="2" customFormat="1" ht="27" spans="1:10">
      <c r="A6361" s="6">
        <f>6359</f>
        <v>6359</v>
      </c>
      <c r="B6361" s="6" t="s">
        <v>16381</v>
      </c>
      <c r="C6361" s="6" t="s">
        <v>12</v>
      </c>
      <c r="D6361" s="6" t="s">
        <v>16132</v>
      </c>
      <c r="E6361" s="6" t="s">
        <v>16369</v>
      </c>
      <c r="F6361" s="6" t="s">
        <v>16382</v>
      </c>
      <c r="G6361" s="6" t="s">
        <v>16</v>
      </c>
      <c r="H6361" s="5">
        <v>4</v>
      </c>
      <c r="I6361" s="6" t="s">
        <v>16383</v>
      </c>
      <c r="J6361" s="5">
        <v>1840</v>
      </c>
    </row>
    <row r="6362" s="2" customFormat="1" spans="1:10">
      <c r="A6362" s="6">
        <f>6360</f>
        <v>6360</v>
      </c>
      <c r="B6362" s="6" t="s">
        <v>16384</v>
      </c>
      <c r="C6362" s="6" t="s">
        <v>12</v>
      </c>
      <c r="D6362" s="6" t="s">
        <v>16132</v>
      </c>
      <c r="E6362" s="6" t="s">
        <v>16369</v>
      </c>
      <c r="F6362" s="6" t="s">
        <v>16385</v>
      </c>
      <c r="G6362" s="6" t="s">
        <v>16</v>
      </c>
      <c r="H6362" s="5">
        <v>1</v>
      </c>
      <c r="I6362" s="6" t="s">
        <v>16385</v>
      </c>
      <c r="J6362" s="5">
        <v>573</v>
      </c>
    </row>
    <row r="6363" s="2" customFormat="1" spans="1:10">
      <c r="A6363" s="6">
        <f>6361</f>
        <v>6361</v>
      </c>
      <c r="B6363" s="6" t="s">
        <v>16386</v>
      </c>
      <c r="C6363" s="6" t="s">
        <v>12</v>
      </c>
      <c r="D6363" s="6" t="s">
        <v>16132</v>
      </c>
      <c r="E6363" s="6" t="s">
        <v>16369</v>
      </c>
      <c r="F6363" s="6" t="s">
        <v>16387</v>
      </c>
      <c r="G6363" s="6" t="s">
        <v>16</v>
      </c>
      <c r="H6363" s="5">
        <v>2</v>
      </c>
      <c r="I6363" s="6" t="s">
        <v>16388</v>
      </c>
      <c r="J6363" s="5">
        <v>1146</v>
      </c>
    </row>
    <row r="6364" s="2" customFormat="1" spans="1:10">
      <c r="A6364" s="6">
        <f>6362</f>
        <v>6362</v>
      </c>
      <c r="B6364" s="6" t="s">
        <v>16389</v>
      </c>
      <c r="C6364" s="6" t="s">
        <v>12</v>
      </c>
      <c r="D6364" s="6" t="s">
        <v>16132</v>
      </c>
      <c r="E6364" s="6" t="s">
        <v>16369</v>
      </c>
      <c r="F6364" s="6" t="s">
        <v>16390</v>
      </c>
      <c r="G6364" s="6" t="s">
        <v>16</v>
      </c>
      <c r="H6364" s="5">
        <v>1</v>
      </c>
      <c r="I6364" s="6" t="s">
        <v>16390</v>
      </c>
      <c r="J6364" s="5">
        <v>360</v>
      </c>
    </row>
    <row r="6365" s="2" customFormat="1" ht="27" spans="1:10">
      <c r="A6365" s="6">
        <f>6363</f>
        <v>6363</v>
      </c>
      <c r="B6365" s="6" t="s">
        <v>16391</v>
      </c>
      <c r="C6365" s="6" t="s">
        <v>12</v>
      </c>
      <c r="D6365" s="6" t="s">
        <v>16132</v>
      </c>
      <c r="E6365" s="6" t="s">
        <v>16369</v>
      </c>
      <c r="F6365" s="6" t="s">
        <v>16392</v>
      </c>
      <c r="G6365" s="6" t="s">
        <v>16</v>
      </c>
      <c r="H6365" s="5">
        <v>5</v>
      </c>
      <c r="I6365" s="6" t="s">
        <v>16393</v>
      </c>
      <c r="J6365" s="5">
        <v>2000</v>
      </c>
    </row>
    <row r="6366" s="2" customFormat="1" ht="27" spans="1:10">
      <c r="A6366" s="6">
        <f>6364</f>
        <v>6364</v>
      </c>
      <c r="B6366" s="6" t="s">
        <v>16394</v>
      </c>
      <c r="C6366" s="6" t="s">
        <v>12</v>
      </c>
      <c r="D6366" s="6" t="s">
        <v>16132</v>
      </c>
      <c r="E6366" s="6" t="s">
        <v>16369</v>
      </c>
      <c r="F6366" s="6" t="s">
        <v>16395</v>
      </c>
      <c r="G6366" s="6" t="s">
        <v>16</v>
      </c>
      <c r="H6366" s="5">
        <v>6</v>
      </c>
      <c r="I6366" s="6" t="s">
        <v>16396</v>
      </c>
      <c r="J6366" s="5">
        <v>960</v>
      </c>
    </row>
    <row r="6367" s="2" customFormat="1" spans="1:10">
      <c r="A6367" s="6">
        <f>6365</f>
        <v>6365</v>
      </c>
      <c r="B6367" s="6" t="s">
        <v>16397</v>
      </c>
      <c r="C6367" s="6" t="s">
        <v>12</v>
      </c>
      <c r="D6367" s="6" t="s">
        <v>16132</v>
      </c>
      <c r="E6367" s="6" t="s">
        <v>16369</v>
      </c>
      <c r="F6367" s="6" t="s">
        <v>16398</v>
      </c>
      <c r="G6367" s="6" t="s">
        <v>16</v>
      </c>
      <c r="H6367" s="5">
        <v>2</v>
      </c>
      <c r="I6367" s="6" t="s">
        <v>16399</v>
      </c>
      <c r="J6367" s="5">
        <v>720</v>
      </c>
    </row>
    <row r="6368" s="2" customFormat="1" spans="1:10">
      <c r="A6368" s="6">
        <f>6366</f>
        <v>6366</v>
      </c>
      <c r="B6368" s="6" t="s">
        <v>16400</v>
      </c>
      <c r="C6368" s="6" t="s">
        <v>12</v>
      </c>
      <c r="D6368" s="6" t="s">
        <v>16132</v>
      </c>
      <c r="E6368" s="6" t="s">
        <v>16369</v>
      </c>
      <c r="F6368" s="6" t="s">
        <v>16401</v>
      </c>
      <c r="G6368" s="6" t="s">
        <v>16</v>
      </c>
      <c r="H6368" s="5">
        <v>3</v>
      </c>
      <c r="I6368" s="6" t="s">
        <v>16402</v>
      </c>
      <c r="J6368" s="5">
        <v>1080</v>
      </c>
    </row>
    <row r="6369" s="2" customFormat="1" spans="1:10">
      <c r="A6369" s="6">
        <f>6367</f>
        <v>6367</v>
      </c>
      <c r="B6369" s="6" t="s">
        <v>16403</v>
      </c>
      <c r="C6369" s="6" t="s">
        <v>12</v>
      </c>
      <c r="D6369" s="6" t="s">
        <v>16132</v>
      </c>
      <c r="E6369" s="6" t="s">
        <v>16369</v>
      </c>
      <c r="F6369" s="6" t="s">
        <v>16404</v>
      </c>
      <c r="G6369" s="6" t="s">
        <v>16</v>
      </c>
      <c r="H6369" s="5">
        <v>1</v>
      </c>
      <c r="I6369" s="6" t="s">
        <v>16404</v>
      </c>
      <c r="J6369" s="5">
        <v>620</v>
      </c>
    </row>
    <row r="6370" s="2" customFormat="1" ht="27" spans="1:10">
      <c r="A6370" s="6">
        <f>6368</f>
        <v>6368</v>
      </c>
      <c r="B6370" s="6" t="s">
        <v>16405</v>
      </c>
      <c r="C6370" s="6" t="s">
        <v>12</v>
      </c>
      <c r="D6370" s="6" t="s">
        <v>16132</v>
      </c>
      <c r="E6370" s="6" t="s">
        <v>16369</v>
      </c>
      <c r="F6370" s="6" t="s">
        <v>16406</v>
      </c>
      <c r="G6370" s="6" t="s">
        <v>16</v>
      </c>
      <c r="H6370" s="5">
        <v>4</v>
      </c>
      <c r="I6370" s="6" t="s">
        <v>16407</v>
      </c>
      <c r="J6370" s="5">
        <v>1148</v>
      </c>
    </row>
    <row r="6371" s="2" customFormat="1" ht="27" spans="1:10">
      <c r="A6371" s="6">
        <f>6369</f>
        <v>6369</v>
      </c>
      <c r="B6371" s="6" t="s">
        <v>16408</v>
      </c>
      <c r="C6371" s="6" t="s">
        <v>12</v>
      </c>
      <c r="D6371" s="6" t="s">
        <v>16132</v>
      </c>
      <c r="E6371" s="6" t="s">
        <v>16369</v>
      </c>
      <c r="F6371" s="6" t="s">
        <v>16409</v>
      </c>
      <c r="G6371" s="6" t="s">
        <v>16</v>
      </c>
      <c r="H6371" s="5">
        <v>4</v>
      </c>
      <c r="I6371" s="6" t="s">
        <v>16410</v>
      </c>
      <c r="J6371" s="5">
        <v>1660</v>
      </c>
    </row>
    <row r="6372" s="2" customFormat="1" spans="1:10">
      <c r="A6372" s="6">
        <f>6370</f>
        <v>6370</v>
      </c>
      <c r="B6372" s="6" t="s">
        <v>16411</v>
      </c>
      <c r="C6372" s="6" t="s">
        <v>12</v>
      </c>
      <c r="D6372" s="6" t="s">
        <v>16132</v>
      </c>
      <c r="E6372" s="6" t="s">
        <v>16369</v>
      </c>
      <c r="F6372" s="6" t="s">
        <v>16412</v>
      </c>
      <c r="G6372" s="6" t="s">
        <v>16</v>
      </c>
      <c r="H6372" s="5">
        <v>2</v>
      </c>
      <c r="I6372" s="6" t="s">
        <v>16413</v>
      </c>
      <c r="J6372" s="5">
        <v>380</v>
      </c>
    </row>
    <row r="6373" s="2" customFormat="1" spans="1:10">
      <c r="A6373" s="6">
        <f>6371</f>
        <v>6371</v>
      </c>
      <c r="B6373" s="6" t="s">
        <v>16414</v>
      </c>
      <c r="C6373" s="6" t="s">
        <v>12</v>
      </c>
      <c r="D6373" s="6" t="s">
        <v>16132</v>
      </c>
      <c r="E6373" s="6" t="s">
        <v>16369</v>
      </c>
      <c r="F6373" s="6" t="s">
        <v>16415</v>
      </c>
      <c r="G6373" s="6" t="s">
        <v>16</v>
      </c>
      <c r="H6373" s="5">
        <v>1</v>
      </c>
      <c r="I6373" s="6" t="s">
        <v>16415</v>
      </c>
      <c r="J6373" s="5">
        <v>318</v>
      </c>
    </row>
    <row r="6374" s="2" customFormat="1" spans="1:10">
      <c r="A6374" s="6">
        <f>6372</f>
        <v>6372</v>
      </c>
      <c r="B6374" s="6" t="s">
        <v>16416</v>
      </c>
      <c r="C6374" s="6" t="s">
        <v>12</v>
      </c>
      <c r="D6374" s="6" t="s">
        <v>16132</v>
      </c>
      <c r="E6374" s="6" t="s">
        <v>16369</v>
      </c>
      <c r="F6374" s="6" t="s">
        <v>16417</v>
      </c>
      <c r="G6374" s="6" t="s">
        <v>16</v>
      </c>
      <c r="H6374" s="5">
        <v>1</v>
      </c>
      <c r="I6374" s="6" t="s">
        <v>16417</v>
      </c>
      <c r="J6374" s="5">
        <v>360</v>
      </c>
    </row>
    <row r="6375" s="2" customFormat="1" ht="27" spans="1:10">
      <c r="A6375" s="6">
        <f>6373</f>
        <v>6373</v>
      </c>
      <c r="B6375" s="6" t="s">
        <v>16418</v>
      </c>
      <c r="C6375" s="6" t="s">
        <v>12</v>
      </c>
      <c r="D6375" s="6" t="s">
        <v>16132</v>
      </c>
      <c r="E6375" s="6" t="s">
        <v>16369</v>
      </c>
      <c r="F6375" s="6" t="s">
        <v>16419</v>
      </c>
      <c r="G6375" s="6" t="s">
        <v>16</v>
      </c>
      <c r="H6375" s="5">
        <v>5</v>
      </c>
      <c r="I6375" s="6" t="s">
        <v>16420</v>
      </c>
      <c r="J6375" s="5">
        <v>1000</v>
      </c>
    </row>
    <row r="6376" s="2" customFormat="1" ht="27" spans="1:10">
      <c r="A6376" s="6">
        <f>6374</f>
        <v>6374</v>
      </c>
      <c r="B6376" s="6" t="s">
        <v>16421</v>
      </c>
      <c r="C6376" s="6" t="s">
        <v>12</v>
      </c>
      <c r="D6376" s="6" t="s">
        <v>16132</v>
      </c>
      <c r="E6376" s="6" t="s">
        <v>16369</v>
      </c>
      <c r="F6376" s="6" t="s">
        <v>16422</v>
      </c>
      <c r="G6376" s="6" t="s">
        <v>16</v>
      </c>
      <c r="H6376" s="5">
        <v>6</v>
      </c>
      <c r="I6376" s="6" t="s">
        <v>16423</v>
      </c>
      <c r="J6376" s="5">
        <v>1860</v>
      </c>
    </row>
    <row r="6377" s="2" customFormat="1" spans="1:10">
      <c r="A6377" s="6">
        <f>6375</f>
        <v>6375</v>
      </c>
      <c r="B6377" s="6" t="s">
        <v>16424</v>
      </c>
      <c r="C6377" s="6" t="s">
        <v>12</v>
      </c>
      <c r="D6377" s="6" t="s">
        <v>16132</v>
      </c>
      <c r="E6377" s="6" t="s">
        <v>16369</v>
      </c>
      <c r="F6377" s="6" t="s">
        <v>16425</v>
      </c>
      <c r="G6377" s="6" t="s">
        <v>16</v>
      </c>
      <c r="H6377" s="5">
        <v>1</v>
      </c>
      <c r="I6377" s="6" t="s">
        <v>16425</v>
      </c>
      <c r="J6377" s="5">
        <v>460</v>
      </c>
    </row>
    <row r="6378" s="2" customFormat="1" spans="1:10">
      <c r="A6378" s="6">
        <f>6376</f>
        <v>6376</v>
      </c>
      <c r="B6378" s="6" t="s">
        <v>16426</v>
      </c>
      <c r="C6378" s="6" t="s">
        <v>12</v>
      </c>
      <c r="D6378" s="6" t="s">
        <v>16132</v>
      </c>
      <c r="E6378" s="6" t="s">
        <v>16369</v>
      </c>
      <c r="F6378" s="6" t="s">
        <v>16427</v>
      </c>
      <c r="G6378" s="6" t="s">
        <v>16</v>
      </c>
      <c r="H6378" s="5">
        <v>3</v>
      </c>
      <c r="I6378" s="6" t="s">
        <v>16428</v>
      </c>
      <c r="J6378" s="5">
        <v>561</v>
      </c>
    </row>
    <row r="6379" s="2" customFormat="1" ht="27" spans="1:10">
      <c r="A6379" s="6">
        <f>6377</f>
        <v>6377</v>
      </c>
      <c r="B6379" s="6" t="s">
        <v>16429</v>
      </c>
      <c r="C6379" s="6" t="s">
        <v>12</v>
      </c>
      <c r="D6379" s="6" t="s">
        <v>16132</v>
      </c>
      <c r="E6379" s="6" t="s">
        <v>16369</v>
      </c>
      <c r="F6379" s="6" t="s">
        <v>12612</v>
      </c>
      <c r="G6379" s="6" t="s">
        <v>16</v>
      </c>
      <c r="H6379" s="5">
        <v>4</v>
      </c>
      <c r="I6379" s="6" t="s">
        <v>16430</v>
      </c>
      <c r="J6379" s="5">
        <v>694</v>
      </c>
    </row>
    <row r="6380" s="2" customFormat="1" spans="1:10">
      <c r="A6380" s="6">
        <f>6378</f>
        <v>6378</v>
      </c>
      <c r="B6380" s="6" t="s">
        <v>16431</v>
      </c>
      <c r="C6380" s="6" t="s">
        <v>12</v>
      </c>
      <c r="D6380" s="6" t="s">
        <v>16132</v>
      </c>
      <c r="E6380" s="6" t="s">
        <v>16369</v>
      </c>
      <c r="F6380" s="6" t="s">
        <v>16432</v>
      </c>
      <c r="G6380" s="6" t="s">
        <v>16</v>
      </c>
      <c r="H6380" s="5">
        <v>3</v>
      </c>
      <c r="I6380" s="6" t="s">
        <v>16433</v>
      </c>
      <c r="J6380" s="5">
        <v>307</v>
      </c>
    </row>
    <row r="6381" s="2" customFormat="1" ht="27" spans="1:10">
      <c r="A6381" s="6">
        <f>6379</f>
        <v>6379</v>
      </c>
      <c r="B6381" s="6" t="s">
        <v>16434</v>
      </c>
      <c r="C6381" s="6" t="s">
        <v>12</v>
      </c>
      <c r="D6381" s="6" t="s">
        <v>16132</v>
      </c>
      <c r="E6381" s="6" t="s">
        <v>16369</v>
      </c>
      <c r="F6381" s="6" t="s">
        <v>13108</v>
      </c>
      <c r="G6381" s="6" t="s">
        <v>16</v>
      </c>
      <c r="H6381" s="5">
        <v>5</v>
      </c>
      <c r="I6381" s="6" t="s">
        <v>16435</v>
      </c>
      <c r="J6381" s="5">
        <v>530</v>
      </c>
    </row>
    <row r="6382" s="2" customFormat="1" spans="1:10">
      <c r="A6382" s="6">
        <f>6380</f>
        <v>6380</v>
      </c>
      <c r="B6382" s="6" t="s">
        <v>16436</v>
      </c>
      <c r="C6382" s="6" t="s">
        <v>12</v>
      </c>
      <c r="D6382" s="6" t="s">
        <v>16132</v>
      </c>
      <c r="E6382" s="6" t="s">
        <v>16369</v>
      </c>
      <c r="F6382" s="6" t="s">
        <v>16437</v>
      </c>
      <c r="G6382" s="6" t="s">
        <v>16</v>
      </c>
      <c r="H6382" s="5">
        <v>1</v>
      </c>
      <c r="I6382" s="6" t="s">
        <v>16437</v>
      </c>
      <c r="J6382" s="5">
        <v>260</v>
      </c>
    </row>
    <row r="6383" s="2" customFormat="1" spans="1:10">
      <c r="A6383" s="6">
        <f>6381</f>
        <v>6381</v>
      </c>
      <c r="B6383" s="6" t="s">
        <v>16438</v>
      </c>
      <c r="C6383" s="6" t="s">
        <v>12</v>
      </c>
      <c r="D6383" s="6" t="s">
        <v>16132</v>
      </c>
      <c r="E6383" s="6" t="s">
        <v>16369</v>
      </c>
      <c r="F6383" s="6" t="s">
        <v>16439</v>
      </c>
      <c r="G6383" s="6" t="s">
        <v>16</v>
      </c>
      <c r="H6383" s="5">
        <v>3</v>
      </c>
      <c r="I6383" s="6" t="s">
        <v>16440</v>
      </c>
      <c r="J6383" s="5">
        <v>714</v>
      </c>
    </row>
    <row r="6384" s="2" customFormat="1" spans="1:10">
      <c r="A6384" s="6">
        <f>6382</f>
        <v>6382</v>
      </c>
      <c r="B6384" s="6" t="s">
        <v>16441</v>
      </c>
      <c r="C6384" s="6" t="s">
        <v>12</v>
      </c>
      <c r="D6384" s="6" t="s">
        <v>16132</v>
      </c>
      <c r="E6384" s="6" t="s">
        <v>16369</v>
      </c>
      <c r="F6384" s="6" t="s">
        <v>16442</v>
      </c>
      <c r="G6384" s="6" t="s">
        <v>16</v>
      </c>
      <c r="H6384" s="5">
        <v>3</v>
      </c>
      <c r="I6384" s="6" t="s">
        <v>16443</v>
      </c>
      <c r="J6384" s="5">
        <v>580</v>
      </c>
    </row>
    <row r="6385" s="2" customFormat="1" spans="1:10">
      <c r="A6385" s="6">
        <f>6383</f>
        <v>6383</v>
      </c>
      <c r="B6385" s="6" t="s">
        <v>16444</v>
      </c>
      <c r="C6385" s="6" t="s">
        <v>12</v>
      </c>
      <c r="D6385" s="6" t="s">
        <v>16132</v>
      </c>
      <c r="E6385" s="6" t="s">
        <v>16369</v>
      </c>
      <c r="F6385" s="6" t="s">
        <v>16445</v>
      </c>
      <c r="G6385" s="6" t="s">
        <v>16</v>
      </c>
      <c r="H6385" s="5">
        <v>1</v>
      </c>
      <c r="I6385" s="6" t="s">
        <v>16445</v>
      </c>
      <c r="J6385" s="5">
        <v>260</v>
      </c>
    </row>
    <row r="6386" s="2" customFormat="1" spans="1:10">
      <c r="A6386" s="6">
        <f>6384</f>
        <v>6384</v>
      </c>
      <c r="B6386" s="6" t="s">
        <v>16446</v>
      </c>
      <c r="C6386" s="6" t="s">
        <v>12</v>
      </c>
      <c r="D6386" s="6" t="s">
        <v>16132</v>
      </c>
      <c r="E6386" s="6" t="s">
        <v>16369</v>
      </c>
      <c r="F6386" s="6" t="s">
        <v>16447</v>
      </c>
      <c r="G6386" s="6" t="s">
        <v>16</v>
      </c>
      <c r="H6386" s="5">
        <v>1</v>
      </c>
      <c r="I6386" s="6" t="s">
        <v>16447</v>
      </c>
      <c r="J6386" s="5">
        <v>290</v>
      </c>
    </row>
    <row r="6387" s="2" customFormat="1" ht="27" spans="1:10">
      <c r="A6387" s="6">
        <f>6385</f>
        <v>6385</v>
      </c>
      <c r="B6387" s="6" t="s">
        <v>16448</v>
      </c>
      <c r="C6387" s="6" t="s">
        <v>12</v>
      </c>
      <c r="D6387" s="6" t="s">
        <v>16132</v>
      </c>
      <c r="E6387" s="6" t="s">
        <v>16369</v>
      </c>
      <c r="F6387" s="6" t="s">
        <v>16449</v>
      </c>
      <c r="G6387" s="6" t="s">
        <v>16</v>
      </c>
      <c r="H6387" s="5">
        <v>4</v>
      </c>
      <c r="I6387" s="6" t="s">
        <v>16450</v>
      </c>
      <c r="J6387" s="5">
        <v>648</v>
      </c>
    </row>
    <row r="6388" s="2" customFormat="1" spans="1:10">
      <c r="A6388" s="6">
        <f>6386</f>
        <v>6386</v>
      </c>
      <c r="B6388" s="6" t="s">
        <v>16451</v>
      </c>
      <c r="C6388" s="6" t="s">
        <v>12</v>
      </c>
      <c r="D6388" s="6" t="s">
        <v>16132</v>
      </c>
      <c r="E6388" s="6" t="s">
        <v>16369</v>
      </c>
      <c r="F6388" s="6" t="s">
        <v>16452</v>
      </c>
      <c r="G6388" s="6" t="s">
        <v>16</v>
      </c>
      <c r="H6388" s="5">
        <v>1</v>
      </c>
      <c r="I6388" s="6" t="s">
        <v>16452</v>
      </c>
      <c r="J6388" s="5">
        <v>360</v>
      </c>
    </row>
    <row r="6389" s="2" customFormat="1" spans="1:10">
      <c r="A6389" s="6">
        <f>6387</f>
        <v>6387</v>
      </c>
      <c r="B6389" s="6" t="s">
        <v>16453</v>
      </c>
      <c r="C6389" s="6" t="s">
        <v>12</v>
      </c>
      <c r="D6389" s="6" t="s">
        <v>16132</v>
      </c>
      <c r="E6389" s="6" t="s">
        <v>16369</v>
      </c>
      <c r="F6389" s="6" t="s">
        <v>16454</v>
      </c>
      <c r="G6389" s="6" t="s">
        <v>16</v>
      </c>
      <c r="H6389" s="5">
        <v>1</v>
      </c>
      <c r="I6389" s="6" t="s">
        <v>16454</v>
      </c>
      <c r="J6389" s="5">
        <v>260</v>
      </c>
    </row>
    <row r="6390" s="2" customFormat="1" spans="1:10">
      <c r="A6390" s="6">
        <f>6388</f>
        <v>6388</v>
      </c>
      <c r="B6390" s="6" t="s">
        <v>16455</v>
      </c>
      <c r="C6390" s="6" t="s">
        <v>12</v>
      </c>
      <c r="D6390" s="6" t="s">
        <v>16132</v>
      </c>
      <c r="E6390" s="6" t="s">
        <v>16369</v>
      </c>
      <c r="F6390" s="6" t="s">
        <v>16456</v>
      </c>
      <c r="G6390" s="6" t="s">
        <v>16</v>
      </c>
      <c r="H6390" s="5">
        <v>1</v>
      </c>
      <c r="I6390" s="6" t="s">
        <v>16456</v>
      </c>
      <c r="J6390" s="5">
        <v>540</v>
      </c>
    </row>
    <row r="6391" s="2" customFormat="1" ht="27" spans="1:10">
      <c r="A6391" s="6">
        <f>6389</f>
        <v>6389</v>
      </c>
      <c r="B6391" s="6" t="s">
        <v>16457</v>
      </c>
      <c r="C6391" s="6" t="s">
        <v>12</v>
      </c>
      <c r="D6391" s="6" t="s">
        <v>16132</v>
      </c>
      <c r="E6391" s="6" t="s">
        <v>16369</v>
      </c>
      <c r="F6391" s="6" t="s">
        <v>16458</v>
      </c>
      <c r="G6391" s="6" t="s">
        <v>16</v>
      </c>
      <c r="H6391" s="5">
        <v>4</v>
      </c>
      <c r="I6391" s="6" t="s">
        <v>16459</v>
      </c>
      <c r="J6391" s="5">
        <v>1340</v>
      </c>
    </row>
    <row r="6392" s="2" customFormat="1" spans="1:10">
      <c r="A6392" s="6">
        <f>6390</f>
        <v>6390</v>
      </c>
      <c r="B6392" s="6" t="s">
        <v>16460</v>
      </c>
      <c r="C6392" s="6" t="s">
        <v>12</v>
      </c>
      <c r="D6392" s="6" t="s">
        <v>16132</v>
      </c>
      <c r="E6392" s="6" t="s">
        <v>16369</v>
      </c>
      <c r="F6392" s="6" t="s">
        <v>16461</v>
      </c>
      <c r="G6392" s="6" t="s">
        <v>16</v>
      </c>
      <c r="H6392" s="5">
        <v>3</v>
      </c>
      <c r="I6392" s="6" t="s">
        <v>16462</v>
      </c>
      <c r="J6392" s="5">
        <v>1020</v>
      </c>
    </row>
    <row r="6393" s="2" customFormat="1" spans="1:10">
      <c r="A6393" s="6">
        <f>6391</f>
        <v>6391</v>
      </c>
      <c r="B6393" s="6" t="s">
        <v>16463</v>
      </c>
      <c r="C6393" s="6" t="s">
        <v>12</v>
      </c>
      <c r="D6393" s="6" t="s">
        <v>16132</v>
      </c>
      <c r="E6393" s="6" t="s">
        <v>16464</v>
      </c>
      <c r="F6393" s="6" t="s">
        <v>16465</v>
      </c>
      <c r="G6393" s="6" t="s">
        <v>16</v>
      </c>
      <c r="H6393" s="5">
        <v>2</v>
      </c>
      <c r="I6393" s="6" t="s">
        <v>16466</v>
      </c>
      <c r="J6393" s="5">
        <v>520</v>
      </c>
    </row>
    <row r="6394" s="2" customFormat="1" spans="1:10">
      <c r="A6394" s="6">
        <f>6392</f>
        <v>6392</v>
      </c>
      <c r="B6394" s="6" t="s">
        <v>16467</v>
      </c>
      <c r="C6394" s="6" t="s">
        <v>12</v>
      </c>
      <c r="D6394" s="6" t="s">
        <v>16132</v>
      </c>
      <c r="E6394" s="6" t="s">
        <v>16464</v>
      </c>
      <c r="F6394" s="6" t="s">
        <v>16468</v>
      </c>
      <c r="G6394" s="6" t="s">
        <v>16</v>
      </c>
      <c r="H6394" s="5">
        <v>2</v>
      </c>
      <c r="I6394" s="6" t="s">
        <v>16469</v>
      </c>
      <c r="J6394" s="5">
        <v>480</v>
      </c>
    </row>
    <row r="6395" s="2" customFormat="1" spans="1:10">
      <c r="A6395" s="6">
        <f>6393</f>
        <v>6393</v>
      </c>
      <c r="B6395" s="6" t="s">
        <v>16470</v>
      </c>
      <c r="C6395" s="6" t="s">
        <v>12</v>
      </c>
      <c r="D6395" s="6" t="s">
        <v>16132</v>
      </c>
      <c r="E6395" s="6" t="s">
        <v>16464</v>
      </c>
      <c r="F6395" s="6" t="s">
        <v>16471</v>
      </c>
      <c r="G6395" s="6" t="s">
        <v>16</v>
      </c>
      <c r="H6395" s="5">
        <v>3</v>
      </c>
      <c r="I6395" s="6" t="s">
        <v>16472</v>
      </c>
      <c r="J6395" s="5">
        <v>1073</v>
      </c>
    </row>
    <row r="6396" s="2" customFormat="1" spans="1:10">
      <c r="A6396" s="6">
        <f>6394</f>
        <v>6394</v>
      </c>
      <c r="B6396" s="6" t="s">
        <v>16473</v>
      </c>
      <c r="C6396" s="6" t="s">
        <v>12</v>
      </c>
      <c r="D6396" s="6" t="s">
        <v>16132</v>
      </c>
      <c r="E6396" s="6" t="s">
        <v>16464</v>
      </c>
      <c r="F6396" s="6" t="s">
        <v>16474</v>
      </c>
      <c r="G6396" s="6" t="s">
        <v>16</v>
      </c>
      <c r="H6396" s="5">
        <v>1</v>
      </c>
      <c r="I6396" s="6" t="s">
        <v>16474</v>
      </c>
      <c r="J6396" s="5">
        <v>360</v>
      </c>
    </row>
    <row r="6397" s="2" customFormat="1" spans="1:10">
      <c r="A6397" s="6">
        <f>6395</f>
        <v>6395</v>
      </c>
      <c r="B6397" s="6" t="s">
        <v>16475</v>
      </c>
      <c r="C6397" s="6" t="s">
        <v>12</v>
      </c>
      <c r="D6397" s="6" t="s">
        <v>16132</v>
      </c>
      <c r="E6397" s="6" t="s">
        <v>16464</v>
      </c>
      <c r="F6397" s="6" t="s">
        <v>16476</v>
      </c>
      <c r="G6397" s="6" t="s">
        <v>16</v>
      </c>
      <c r="H6397" s="5">
        <v>1</v>
      </c>
      <c r="I6397" s="6" t="s">
        <v>16476</v>
      </c>
      <c r="J6397" s="5">
        <v>620</v>
      </c>
    </row>
    <row r="6398" s="2" customFormat="1" spans="1:10">
      <c r="A6398" s="6">
        <f>6396</f>
        <v>6396</v>
      </c>
      <c r="B6398" s="6" t="s">
        <v>16477</v>
      </c>
      <c r="C6398" s="6" t="s">
        <v>12</v>
      </c>
      <c r="D6398" s="6" t="s">
        <v>16132</v>
      </c>
      <c r="E6398" s="6" t="s">
        <v>16464</v>
      </c>
      <c r="F6398" s="6" t="s">
        <v>16478</v>
      </c>
      <c r="G6398" s="6" t="s">
        <v>16</v>
      </c>
      <c r="H6398" s="5">
        <v>1</v>
      </c>
      <c r="I6398" s="6" t="s">
        <v>16478</v>
      </c>
      <c r="J6398" s="5">
        <v>210</v>
      </c>
    </row>
    <row r="6399" s="2" customFormat="1" spans="1:10">
      <c r="A6399" s="6">
        <f>6397</f>
        <v>6397</v>
      </c>
      <c r="B6399" s="6" t="s">
        <v>16479</v>
      </c>
      <c r="C6399" s="6" t="s">
        <v>12</v>
      </c>
      <c r="D6399" s="6" t="s">
        <v>16132</v>
      </c>
      <c r="E6399" s="6" t="s">
        <v>16464</v>
      </c>
      <c r="F6399" s="6" t="s">
        <v>16480</v>
      </c>
      <c r="G6399" s="6" t="s">
        <v>16</v>
      </c>
      <c r="H6399" s="5">
        <v>3</v>
      </c>
      <c r="I6399" s="6" t="s">
        <v>16481</v>
      </c>
      <c r="J6399" s="5">
        <v>580</v>
      </c>
    </row>
    <row r="6400" s="2" customFormat="1" spans="1:10">
      <c r="A6400" s="6">
        <f>6398</f>
        <v>6398</v>
      </c>
      <c r="B6400" s="6" t="s">
        <v>16482</v>
      </c>
      <c r="C6400" s="6" t="s">
        <v>12</v>
      </c>
      <c r="D6400" s="6" t="s">
        <v>16132</v>
      </c>
      <c r="E6400" s="6" t="s">
        <v>16464</v>
      </c>
      <c r="F6400" s="6" t="s">
        <v>16483</v>
      </c>
      <c r="G6400" s="6" t="s">
        <v>16</v>
      </c>
      <c r="H6400" s="5">
        <v>3</v>
      </c>
      <c r="I6400" s="6" t="s">
        <v>16484</v>
      </c>
      <c r="J6400" s="5">
        <v>720</v>
      </c>
    </row>
    <row r="6401" s="2" customFormat="1" ht="27" spans="1:10">
      <c r="A6401" s="6">
        <f>6399</f>
        <v>6399</v>
      </c>
      <c r="B6401" s="6" t="s">
        <v>16485</v>
      </c>
      <c r="C6401" s="6" t="s">
        <v>12</v>
      </c>
      <c r="D6401" s="6" t="s">
        <v>16132</v>
      </c>
      <c r="E6401" s="6" t="s">
        <v>16464</v>
      </c>
      <c r="F6401" s="6" t="s">
        <v>16486</v>
      </c>
      <c r="G6401" s="6" t="s">
        <v>16</v>
      </c>
      <c r="H6401" s="5">
        <v>6</v>
      </c>
      <c r="I6401" s="6" t="s">
        <v>16487</v>
      </c>
      <c r="J6401" s="5">
        <v>960</v>
      </c>
    </row>
    <row r="6402" s="2" customFormat="1" spans="1:10">
      <c r="A6402" s="6">
        <f>6400</f>
        <v>6400</v>
      </c>
      <c r="B6402" s="6" t="s">
        <v>16488</v>
      </c>
      <c r="C6402" s="6" t="s">
        <v>12</v>
      </c>
      <c r="D6402" s="6" t="s">
        <v>16132</v>
      </c>
      <c r="E6402" s="6" t="s">
        <v>16464</v>
      </c>
      <c r="F6402" s="6" t="s">
        <v>16489</v>
      </c>
      <c r="G6402" s="6" t="s">
        <v>16</v>
      </c>
      <c r="H6402" s="5">
        <v>2</v>
      </c>
      <c r="I6402" s="6" t="s">
        <v>16490</v>
      </c>
      <c r="J6402" s="5">
        <v>680</v>
      </c>
    </row>
    <row r="6403" s="2" customFormat="1" spans="1:10">
      <c r="A6403" s="6">
        <f>6401</f>
        <v>6401</v>
      </c>
      <c r="B6403" s="6" t="s">
        <v>16491</v>
      </c>
      <c r="C6403" s="6" t="s">
        <v>12</v>
      </c>
      <c r="D6403" s="6" t="s">
        <v>16132</v>
      </c>
      <c r="E6403" s="6" t="s">
        <v>16464</v>
      </c>
      <c r="F6403" s="6" t="s">
        <v>4756</v>
      </c>
      <c r="G6403" s="6" t="s">
        <v>16</v>
      </c>
      <c r="H6403" s="5">
        <v>3</v>
      </c>
      <c r="I6403" s="6" t="s">
        <v>16492</v>
      </c>
      <c r="J6403" s="5">
        <v>980</v>
      </c>
    </row>
    <row r="6404" s="2" customFormat="1" ht="27" spans="1:10">
      <c r="A6404" s="6">
        <f>6402</f>
        <v>6402</v>
      </c>
      <c r="B6404" s="6" t="s">
        <v>16493</v>
      </c>
      <c r="C6404" s="6" t="s">
        <v>12</v>
      </c>
      <c r="D6404" s="6" t="s">
        <v>16132</v>
      </c>
      <c r="E6404" s="6" t="s">
        <v>16464</v>
      </c>
      <c r="F6404" s="6" t="s">
        <v>16494</v>
      </c>
      <c r="G6404" s="6" t="s">
        <v>16</v>
      </c>
      <c r="H6404" s="5">
        <v>5</v>
      </c>
      <c r="I6404" s="6" t="s">
        <v>16495</v>
      </c>
      <c r="J6404" s="5">
        <v>1300</v>
      </c>
    </row>
    <row r="6405" s="2" customFormat="1" spans="1:10">
      <c r="A6405" s="6">
        <f>6403</f>
        <v>6403</v>
      </c>
      <c r="B6405" s="6" t="s">
        <v>16496</v>
      </c>
      <c r="C6405" s="6" t="s">
        <v>12</v>
      </c>
      <c r="D6405" s="6" t="s">
        <v>16132</v>
      </c>
      <c r="E6405" s="6" t="s">
        <v>16464</v>
      </c>
      <c r="F6405" s="6" t="s">
        <v>16497</v>
      </c>
      <c r="G6405" s="6" t="s">
        <v>16</v>
      </c>
      <c r="H6405" s="5">
        <v>3</v>
      </c>
      <c r="I6405" s="6" t="s">
        <v>16498</v>
      </c>
      <c r="J6405" s="5">
        <v>780</v>
      </c>
    </row>
    <row r="6406" s="2" customFormat="1" spans="1:10">
      <c r="A6406" s="6">
        <f>6404</f>
        <v>6404</v>
      </c>
      <c r="B6406" s="6" t="s">
        <v>16499</v>
      </c>
      <c r="C6406" s="6" t="s">
        <v>12</v>
      </c>
      <c r="D6406" s="6" t="s">
        <v>16132</v>
      </c>
      <c r="E6406" s="6" t="s">
        <v>16464</v>
      </c>
      <c r="F6406" s="6" t="s">
        <v>16500</v>
      </c>
      <c r="G6406" s="6" t="s">
        <v>16</v>
      </c>
      <c r="H6406" s="5">
        <v>3</v>
      </c>
      <c r="I6406" s="6" t="s">
        <v>16501</v>
      </c>
      <c r="J6406" s="5">
        <v>1420</v>
      </c>
    </row>
    <row r="6407" s="2" customFormat="1" spans="1:10">
      <c r="A6407" s="6">
        <f>6405</f>
        <v>6405</v>
      </c>
      <c r="B6407" s="6" t="s">
        <v>16502</v>
      </c>
      <c r="C6407" s="6" t="s">
        <v>12</v>
      </c>
      <c r="D6407" s="6" t="s">
        <v>16132</v>
      </c>
      <c r="E6407" s="6" t="s">
        <v>16464</v>
      </c>
      <c r="F6407" s="6" t="s">
        <v>16503</v>
      </c>
      <c r="G6407" s="6" t="s">
        <v>16</v>
      </c>
      <c r="H6407" s="5">
        <v>2</v>
      </c>
      <c r="I6407" s="6" t="s">
        <v>16504</v>
      </c>
      <c r="J6407" s="5">
        <v>520</v>
      </c>
    </row>
    <row r="6408" s="2" customFormat="1" spans="1:10">
      <c r="A6408" s="6">
        <f>6406</f>
        <v>6406</v>
      </c>
      <c r="B6408" s="6" t="s">
        <v>16505</v>
      </c>
      <c r="C6408" s="6" t="s">
        <v>12</v>
      </c>
      <c r="D6408" s="6" t="s">
        <v>16132</v>
      </c>
      <c r="E6408" s="6" t="s">
        <v>16464</v>
      </c>
      <c r="F6408" s="6" t="s">
        <v>16506</v>
      </c>
      <c r="G6408" s="6" t="s">
        <v>16</v>
      </c>
      <c r="H6408" s="5">
        <v>3</v>
      </c>
      <c r="I6408" s="6" t="s">
        <v>16507</v>
      </c>
      <c r="J6408" s="5">
        <v>840</v>
      </c>
    </row>
    <row r="6409" s="2" customFormat="1" spans="1:10">
      <c r="A6409" s="6">
        <f>6407</f>
        <v>6407</v>
      </c>
      <c r="B6409" s="6" t="s">
        <v>16508</v>
      </c>
      <c r="C6409" s="6" t="s">
        <v>12</v>
      </c>
      <c r="D6409" s="6" t="s">
        <v>16132</v>
      </c>
      <c r="E6409" s="6" t="s">
        <v>16464</v>
      </c>
      <c r="F6409" s="6" t="s">
        <v>16509</v>
      </c>
      <c r="G6409" s="6" t="s">
        <v>16</v>
      </c>
      <c r="H6409" s="5">
        <v>2</v>
      </c>
      <c r="I6409" s="6" t="s">
        <v>16510</v>
      </c>
      <c r="J6409" s="5">
        <v>469</v>
      </c>
    </row>
    <row r="6410" s="2" customFormat="1" spans="1:10">
      <c r="A6410" s="6">
        <f>6408</f>
        <v>6408</v>
      </c>
      <c r="B6410" s="6" t="s">
        <v>16511</v>
      </c>
      <c r="C6410" s="6" t="s">
        <v>12</v>
      </c>
      <c r="D6410" s="6" t="s">
        <v>16132</v>
      </c>
      <c r="E6410" s="6" t="s">
        <v>16464</v>
      </c>
      <c r="F6410" s="6" t="s">
        <v>16512</v>
      </c>
      <c r="G6410" s="6" t="s">
        <v>16</v>
      </c>
      <c r="H6410" s="5">
        <v>2</v>
      </c>
      <c r="I6410" s="6" t="s">
        <v>16513</v>
      </c>
      <c r="J6410" s="5">
        <v>466</v>
      </c>
    </row>
    <row r="6411" s="2" customFormat="1" spans="1:10">
      <c r="A6411" s="6">
        <f>6409</f>
        <v>6409</v>
      </c>
      <c r="B6411" s="6" t="s">
        <v>16514</v>
      </c>
      <c r="C6411" s="6" t="s">
        <v>12</v>
      </c>
      <c r="D6411" s="6" t="s">
        <v>16132</v>
      </c>
      <c r="E6411" s="6" t="s">
        <v>16464</v>
      </c>
      <c r="F6411" s="6" t="s">
        <v>16515</v>
      </c>
      <c r="G6411" s="6" t="s">
        <v>16</v>
      </c>
      <c r="H6411" s="5">
        <v>1</v>
      </c>
      <c r="I6411" s="6" t="s">
        <v>16515</v>
      </c>
      <c r="J6411" s="5">
        <v>262</v>
      </c>
    </row>
    <row r="6412" s="2" customFormat="1" spans="1:10">
      <c r="A6412" s="6">
        <f>6410</f>
        <v>6410</v>
      </c>
      <c r="B6412" s="6" t="s">
        <v>16516</v>
      </c>
      <c r="C6412" s="6" t="s">
        <v>12</v>
      </c>
      <c r="D6412" s="6" t="s">
        <v>16132</v>
      </c>
      <c r="E6412" s="6" t="s">
        <v>16464</v>
      </c>
      <c r="F6412" s="6" t="s">
        <v>16517</v>
      </c>
      <c r="G6412" s="6" t="s">
        <v>16</v>
      </c>
      <c r="H6412" s="5">
        <v>1</v>
      </c>
      <c r="I6412" s="6" t="s">
        <v>16517</v>
      </c>
      <c r="J6412" s="5">
        <v>278</v>
      </c>
    </row>
    <row r="6413" s="2" customFormat="1" spans="1:10">
      <c r="A6413" s="6">
        <f>6411</f>
        <v>6411</v>
      </c>
      <c r="B6413" s="6" t="s">
        <v>16518</v>
      </c>
      <c r="C6413" s="6" t="s">
        <v>12</v>
      </c>
      <c r="D6413" s="6" t="s">
        <v>16132</v>
      </c>
      <c r="E6413" s="6" t="s">
        <v>16464</v>
      </c>
      <c r="F6413" s="6" t="s">
        <v>16519</v>
      </c>
      <c r="G6413" s="6" t="s">
        <v>16</v>
      </c>
      <c r="H6413" s="5">
        <v>3</v>
      </c>
      <c r="I6413" s="6" t="s">
        <v>16520</v>
      </c>
      <c r="J6413" s="5">
        <v>580</v>
      </c>
    </row>
    <row r="6414" s="2" customFormat="1" spans="1:10">
      <c r="A6414" s="6">
        <f>6412</f>
        <v>6412</v>
      </c>
      <c r="B6414" s="6" t="s">
        <v>16521</v>
      </c>
      <c r="C6414" s="6" t="s">
        <v>12</v>
      </c>
      <c r="D6414" s="6" t="s">
        <v>16132</v>
      </c>
      <c r="E6414" s="6" t="s">
        <v>16464</v>
      </c>
      <c r="F6414" s="6" t="s">
        <v>16522</v>
      </c>
      <c r="G6414" s="6" t="s">
        <v>16</v>
      </c>
      <c r="H6414" s="5">
        <v>1</v>
      </c>
      <c r="I6414" s="6" t="s">
        <v>16522</v>
      </c>
      <c r="J6414" s="5">
        <v>295</v>
      </c>
    </row>
    <row r="6415" s="2" customFormat="1" spans="1:10">
      <c r="A6415" s="6">
        <f>6413</f>
        <v>6413</v>
      </c>
      <c r="B6415" s="6" t="s">
        <v>16523</v>
      </c>
      <c r="C6415" s="6" t="s">
        <v>12</v>
      </c>
      <c r="D6415" s="6" t="s">
        <v>16132</v>
      </c>
      <c r="E6415" s="6" t="s">
        <v>16464</v>
      </c>
      <c r="F6415" s="6" t="s">
        <v>16524</v>
      </c>
      <c r="G6415" s="6" t="s">
        <v>16</v>
      </c>
      <c r="H6415" s="5">
        <v>1</v>
      </c>
      <c r="I6415" s="6" t="s">
        <v>16524</v>
      </c>
      <c r="J6415" s="5">
        <v>240</v>
      </c>
    </row>
    <row r="6416" s="2" customFormat="1" spans="1:10">
      <c r="A6416" s="6">
        <f>6414</f>
        <v>6414</v>
      </c>
      <c r="B6416" s="6" t="s">
        <v>16525</v>
      </c>
      <c r="C6416" s="6" t="s">
        <v>12</v>
      </c>
      <c r="D6416" s="6" t="s">
        <v>16132</v>
      </c>
      <c r="E6416" s="6" t="s">
        <v>16464</v>
      </c>
      <c r="F6416" s="6" t="s">
        <v>16526</v>
      </c>
      <c r="G6416" s="6" t="s">
        <v>16</v>
      </c>
      <c r="H6416" s="5">
        <v>1</v>
      </c>
      <c r="I6416" s="6" t="s">
        <v>16526</v>
      </c>
      <c r="J6416" s="5">
        <v>310</v>
      </c>
    </row>
    <row r="6417" s="2" customFormat="1" spans="1:10">
      <c r="A6417" s="6">
        <f>6415</f>
        <v>6415</v>
      </c>
      <c r="B6417" s="6" t="s">
        <v>16527</v>
      </c>
      <c r="C6417" s="6" t="s">
        <v>12</v>
      </c>
      <c r="D6417" s="6" t="s">
        <v>16132</v>
      </c>
      <c r="E6417" s="6" t="s">
        <v>16464</v>
      </c>
      <c r="F6417" s="6" t="s">
        <v>16528</v>
      </c>
      <c r="G6417" s="6" t="s">
        <v>16</v>
      </c>
      <c r="H6417" s="5">
        <v>1</v>
      </c>
      <c r="I6417" s="6" t="s">
        <v>16528</v>
      </c>
      <c r="J6417" s="5">
        <v>260</v>
      </c>
    </row>
    <row r="6418" s="2" customFormat="1" spans="1:10">
      <c r="A6418" s="6">
        <f>6416</f>
        <v>6416</v>
      </c>
      <c r="B6418" s="6" t="s">
        <v>16529</v>
      </c>
      <c r="C6418" s="6" t="s">
        <v>12</v>
      </c>
      <c r="D6418" s="6" t="s">
        <v>16132</v>
      </c>
      <c r="E6418" s="6" t="s">
        <v>16464</v>
      </c>
      <c r="F6418" s="6" t="s">
        <v>16530</v>
      </c>
      <c r="G6418" s="6" t="s">
        <v>16</v>
      </c>
      <c r="H6418" s="5">
        <v>2</v>
      </c>
      <c r="I6418" s="6" t="s">
        <v>16531</v>
      </c>
      <c r="J6418" s="5">
        <v>1240</v>
      </c>
    </row>
    <row r="6419" s="2" customFormat="1" spans="1:10">
      <c r="A6419" s="6">
        <f>6417</f>
        <v>6417</v>
      </c>
      <c r="B6419" s="6" t="s">
        <v>16532</v>
      </c>
      <c r="C6419" s="6" t="s">
        <v>12</v>
      </c>
      <c r="D6419" s="6" t="s">
        <v>16132</v>
      </c>
      <c r="E6419" s="6" t="s">
        <v>16464</v>
      </c>
      <c r="F6419" s="6" t="s">
        <v>16533</v>
      </c>
      <c r="G6419" s="6" t="s">
        <v>16</v>
      </c>
      <c r="H6419" s="5">
        <v>2</v>
      </c>
      <c r="I6419" s="6" t="s">
        <v>16534</v>
      </c>
      <c r="J6419" s="5">
        <v>320</v>
      </c>
    </row>
    <row r="6420" s="2" customFormat="1" spans="1:10">
      <c r="A6420" s="6">
        <f>6418</f>
        <v>6418</v>
      </c>
      <c r="B6420" s="6" t="s">
        <v>16535</v>
      </c>
      <c r="C6420" s="6" t="s">
        <v>12</v>
      </c>
      <c r="D6420" s="6" t="s">
        <v>16132</v>
      </c>
      <c r="E6420" s="6" t="s">
        <v>16464</v>
      </c>
      <c r="F6420" s="6" t="s">
        <v>16536</v>
      </c>
      <c r="G6420" s="6" t="s">
        <v>16</v>
      </c>
      <c r="H6420" s="5">
        <v>1</v>
      </c>
      <c r="I6420" s="6" t="s">
        <v>16536</v>
      </c>
      <c r="J6420" s="5">
        <v>262</v>
      </c>
    </row>
    <row r="6421" s="2" customFormat="1" spans="1:10">
      <c r="A6421" s="6">
        <f>6419</f>
        <v>6419</v>
      </c>
      <c r="B6421" s="6" t="s">
        <v>16537</v>
      </c>
      <c r="C6421" s="6" t="s">
        <v>12</v>
      </c>
      <c r="D6421" s="6" t="s">
        <v>16132</v>
      </c>
      <c r="E6421" s="6" t="s">
        <v>16464</v>
      </c>
      <c r="F6421" s="6" t="s">
        <v>16538</v>
      </c>
      <c r="G6421" s="6" t="s">
        <v>16</v>
      </c>
      <c r="H6421" s="5">
        <v>1</v>
      </c>
      <c r="I6421" s="6" t="s">
        <v>16538</v>
      </c>
      <c r="J6421" s="5">
        <v>360</v>
      </c>
    </row>
    <row r="6422" s="2" customFormat="1" spans="1:10">
      <c r="A6422" s="6">
        <f>6420</f>
        <v>6420</v>
      </c>
      <c r="B6422" s="6" t="s">
        <v>16539</v>
      </c>
      <c r="C6422" s="6" t="s">
        <v>12</v>
      </c>
      <c r="D6422" s="6" t="s">
        <v>16132</v>
      </c>
      <c r="E6422" s="6" t="s">
        <v>16464</v>
      </c>
      <c r="F6422" s="6" t="s">
        <v>16540</v>
      </c>
      <c r="G6422" s="6" t="s">
        <v>16</v>
      </c>
      <c r="H6422" s="5">
        <v>2</v>
      </c>
      <c r="I6422" s="6" t="s">
        <v>16541</v>
      </c>
      <c r="J6422" s="5">
        <v>480</v>
      </c>
    </row>
    <row r="6423" s="2" customFormat="1" ht="27" spans="1:10">
      <c r="A6423" s="6">
        <f>6421</f>
        <v>6421</v>
      </c>
      <c r="B6423" s="6" t="s">
        <v>16542</v>
      </c>
      <c r="C6423" s="6" t="s">
        <v>12</v>
      </c>
      <c r="D6423" s="6" t="s">
        <v>16132</v>
      </c>
      <c r="E6423" s="6" t="s">
        <v>16464</v>
      </c>
      <c r="F6423" s="6" t="s">
        <v>16543</v>
      </c>
      <c r="G6423" s="6" t="s">
        <v>16</v>
      </c>
      <c r="H6423" s="5">
        <v>4</v>
      </c>
      <c r="I6423" s="6" t="s">
        <v>16544</v>
      </c>
      <c r="J6423" s="5">
        <v>1090</v>
      </c>
    </row>
    <row r="6424" s="2" customFormat="1" ht="27" spans="1:10">
      <c r="A6424" s="6">
        <f>6422</f>
        <v>6422</v>
      </c>
      <c r="B6424" s="6" t="s">
        <v>16545</v>
      </c>
      <c r="C6424" s="6" t="s">
        <v>12</v>
      </c>
      <c r="D6424" s="6" t="s">
        <v>16132</v>
      </c>
      <c r="E6424" s="6" t="s">
        <v>16464</v>
      </c>
      <c r="F6424" s="6" t="s">
        <v>16546</v>
      </c>
      <c r="G6424" s="6" t="s">
        <v>16</v>
      </c>
      <c r="H6424" s="5">
        <v>4</v>
      </c>
      <c r="I6424" s="6" t="s">
        <v>16547</v>
      </c>
      <c r="J6424" s="5">
        <v>440</v>
      </c>
    </row>
    <row r="6425" s="2" customFormat="1" spans="1:10">
      <c r="A6425" s="6">
        <f>6423</f>
        <v>6423</v>
      </c>
      <c r="B6425" s="6" t="s">
        <v>16548</v>
      </c>
      <c r="C6425" s="6" t="s">
        <v>12</v>
      </c>
      <c r="D6425" s="6" t="s">
        <v>16132</v>
      </c>
      <c r="E6425" s="6" t="s">
        <v>16464</v>
      </c>
      <c r="F6425" s="6" t="s">
        <v>16549</v>
      </c>
      <c r="G6425" s="6" t="s">
        <v>16</v>
      </c>
      <c r="H6425" s="5">
        <v>2</v>
      </c>
      <c r="I6425" s="6" t="s">
        <v>16550</v>
      </c>
      <c r="J6425" s="5">
        <v>520</v>
      </c>
    </row>
    <row r="6426" s="2" customFormat="1" ht="27" spans="1:10">
      <c r="A6426" s="6">
        <f>6424</f>
        <v>6424</v>
      </c>
      <c r="B6426" s="6" t="s">
        <v>16551</v>
      </c>
      <c r="C6426" s="6" t="s">
        <v>12</v>
      </c>
      <c r="D6426" s="6" t="s">
        <v>16132</v>
      </c>
      <c r="E6426" s="6" t="s">
        <v>16464</v>
      </c>
      <c r="F6426" s="6" t="s">
        <v>16552</v>
      </c>
      <c r="G6426" s="6" t="s">
        <v>16</v>
      </c>
      <c r="H6426" s="5">
        <v>5</v>
      </c>
      <c r="I6426" s="6" t="s">
        <v>16553</v>
      </c>
      <c r="J6426" s="5">
        <v>878</v>
      </c>
    </row>
    <row r="6427" s="2" customFormat="1" ht="27" spans="1:10">
      <c r="A6427" s="6">
        <f>6425</f>
        <v>6425</v>
      </c>
      <c r="B6427" s="6" t="s">
        <v>16554</v>
      </c>
      <c r="C6427" s="6" t="s">
        <v>12</v>
      </c>
      <c r="D6427" s="6" t="s">
        <v>16132</v>
      </c>
      <c r="E6427" s="6" t="s">
        <v>16464</v>
      </c>
      <c r="F6427" s="6" t="s">
        <v>16555</v>
      </c>
      <c r="G6427" s="6" t="s">
        <v>16</v>
      </c>
      <c r="H6427" s="5">
        <v>5</v>
      </c>
      <c r="I6427" s="6" t="s">
        <v>16556</v>
      </c>
      <c r="J6427" s="5">
        <v>1300</v>
      </c>
    </row>
    <row r="6428" s="2" customFormat="1" ht="27" spans="1:10">
      <c r="A6428" s="6">
        <f>6426</f>
        <v>6426</v>
      </c>
      <c r="B6428" s="6" t="s">
        <v>16557</v>
      </c>
      <c r="C6428" s="6" t="s">
        <v>12</v>
      </c>
      <c r="D6428" s="6" t="s">
        <v>16132</v>
      </c>
      <c r="E6428" s="6" t="s">
        <v>16464</v>
      </c>
      <c r="F6428" s="6" t="s">
        <v>16558</v>
      </c>
      <c r="G6428" s="6" t="s">
        <v>16</v>
      </c>
      <c r="H6428" s="5">
        <v>5</v>
      </c>
      <c r="I6428" s="6" t="s">
        <v>16559</v>
      </c>
      <c r="J6428" s="5">
        <v>924</v>
      </c>
    </row>
    <row r="6429" s="2" customFormat="1" spans="1:10">
      <c r="A6429" s="6">
        <f>6427</f>
        <v>6427</v>
      </c>
      <c r="B6429" s="6" t="s">
        <v>16560</v>
      </c>
      <c r="C6429" s="6" t="s">
        <v>12</v>
      </c>
      <c r="D6429" s="6" t="s">
        <v>16132</v>
      </c>
      <c r="E6429" s="6" t="s">
        <v>16464</v>
      </c>
      <c r="F6429" s="6" t="s">
        <v>16561</v>
      </c>
      <c r="G6429" s="6" t="s">
        <v>16</v>
      </c>
      <c r="H6429" s="5">
        <v>1</v>
      </c>
      <c r="I6429" s="6" t="s">
        <v>16561</v>
      </c>
      <c r="J6429" s="5">
        <v>260</v>
      </c>
    </row>
    <row r="6430" s="2" customFormat="1" spans="1:10">
      <c r="A6430" s="6">
        <f>6428</f>
        <v>6428</v>
      </c>
      <c r="B6430" s="6" t="s">
        <v>16562</v>
      </c>
      <c r="C6430" s="6" t="s">
        <v>12</v>
      </c>
      <c r="D6430" s="6" t="s">
        <v>16132</v>
      </c>
      <c r="E6430" s="6" t="s">
        <v>16464</v>
      </c>
      <c r="F6430" s="6" t="s">
        <v>16563</v>
      </c>
      <c r="G6430" s="6" t="s">
        <v>16</v>
      </c>
      <c r="H6430" s="5">
        <v>2</v>
      </c>
      <c r="I6430" s="6" t="s">
        <v>16564</v>
      </c>
      <c r="J6430" s="5">
        <v>720</v>
      </c>
    </row>
    <row r="6431" s="2" customFormat="1" spans="1:10">
      <c r="A6431" s="6">
        <f>6429</f>
        <v>6429</v>
      </c>
      <c r="B6431" s="6" t="s">
        <v>16565</v>
      </c>
      <c r="C6431" s="6" t="s">
        <v>12</v>
      </c>
      <c r="D6431" s="6" t="s">
        <v>16132</v>
      </c>
      <c r="E6431" s="6" t="s">
        <v>16464</v>
      </c>
      <c r="F6431" s="6" t="s">
        <v>16566</v>
      </c>
      <c r="G6431" s="6" t="s">
        <v>16</v>
      </c>
      <c r="H6431" s="5">
        <v>1</v>
      </c>
      <c r="I6431" s="6" t="s">
        <v>16566</v>
      </c>
      <c r="J6431" s="5">
        <v>440</v>
      </c>
    </row>
    <row r="6432" s="2" customFormat="1" ht="27" spans="1:10">
      <c r="A6432" s="6">
        <f>6430</f>
        <v>6430</v>
      </c>
      <c r="B6432" s="6" t="s">
        <v>16567</v>
      </c>
      <c r="C6432" s="6" t="s">
        <v>12</v>
      </c>
      <c r="D6432" s="6" t="s">
        <v>16132</v>
      </c>
      <c r="E6432" s="6" t="s">
        <v>16464</v>
      </c>
      <c r="F6432" s="6" t="s">
        <v>16568</v>
      </c>
      <c r="G6432" s="6" t="s">
        <v>16</v>
      </c>
      <c r="H6432" s="5">
        <v>4</v>
      </c>
      <c r="I6432" s="6" t="s">
        <v>16569</v>
      </c>
      <c r="J6432" s="5">
        <v>640</v>
      </c>
    </row>
    <row r="6433" s="2" customFormat="1" spans="1:10">
      <c r="A6433" s="6">
        <f>6431</f>
        <v>6431</v>
      </c>
      <c r="B6433" s="6" t="s">
        <v>16570</v>
      </c>
      <c r="C6433" s="6" t="s">
        <v>12</v>
      </c>
      <c r="D6433" s="6" t="s">
        <v>16132</v>
      </c>
      <c r="E6433" s="6" t="s">
        <v>16464</v>
      </c>
      <c r="F6433" s="6" t="s">
        <v>16571</v>
      </c>
      <c r="G6433" s="6" t="s">
        <v>16</v>
      </c>
      <c r="H6433" s="5">
        <v>1</v>
      </c>
      <c r="I6433" s="6" t="s">
        <v>16571</v>
      </c>
      <c r="J6433" s="5">
        <v>440</v>
      </c>
    </row>
    <row r="6434" s="2" customFormat="1" spans="1:10">
      <c r="A6434" s="6">
        <f>6432</f>
        <v>6432</v>
      </c>
      <c r="B6434" s="6" t="s">
        <v>16572</v>
      </c>
      <c r="C6434" s="6" t="s">
        <v>12</v>
      </c>
      <c r="D6434" s="6" t="s">
        <v>16132</v>
      </c>
      <c r="E6434" s="6" t="s">
        <v>16464</v>
      </c>
      <c r="F6434" s="6" t="s">
        <v>16573</v>
      </c>
      <c r="G6434" s="6" t="s">
        <v>16</v>
      </c>
      <c r="H6434" s="5">
        <v>3</v>
      </c>
      <c r="I6434" s="6" t="s">
        <v>16574</v>
      </c>
      <c r="J6434" s="5">
        <v>432</v>
      </c>
    </row>
    <row r="6435" s="2" customFormat="1" spans="1:10">
      <c r="A6435" s="6">
        <f>6433</f>
        <v>6433</v>
      </c>
      <c r="B6435" s="6" t="s">
        <v>16575</v>
      </c>
      <c r="C6435" s="6" t="s">
        <v>12</v>
      </c>
      <c r="D6435" s="6" t="s">
        <v>16132</v>
      </c>
      <c r="E6435" s="6" t="s">
        <v>16464</v>
      </c>
      <c r="F6435" s="6" t="s">
        <v>16576</v>
      </c>
      <c r="G6435" s="6" t="s">
        <v>16</v>
      </c>
      <c r="H6435" s="5">
        <v>1</v>
      </c>
      <c r="I6435" s="6" t="s">
        <v>16576</v>
      </c>
      <c r="J6435" s="5">
        <v>260</v>
      </c>
    </row>
    <row r="6436" s="2" customFormat="1" spans="1:10">
      <c r="A6436" s="6">
        <f>6434</f>
        <v>6434</v>
      </c>
      <c r="B6436" s="6" t="s">
        <v>16577</v>
      </c>
      <c r="C6436" s="6" t="s">
        <v>12</v>
      </c>
      <c r="D6436" s="6" t="s">
        <v>16132</v>
      </c>
      <c r="E6436" s="6" t="s">
        <v>16464</v>
      </c>
      <c r="F6436" s="6" t="s">
        <v>16578</v>
      </c>
      <c r="G6436" s="6" t="s">
        <v>16</v>
      </c>
      <c r="H6436" s="5">
        <v>1</v>
      </c>
      <c r="I6436" s="6" t="s">
        <v>16578</v>
      </c>
      <c r="J6436" s="5">
        <v>260</v>
      </c>
    </row>
    <row r="6437" s="2" customFormat="1" spans="1:10">
      <c r="A6437" s="6">
        <f>6435</f>
        <v>6435</v>
      </c>
      <c r="B6437" s="6" t="s">
        <v>16579</v>
      </c>
      <c r="C6437" s="6" t="s">
        <v>12</v>
      </c>
      <c r="D6437" s="6" t="s">
        <v>16132</v>
      </c>
      <c r="E6437" s="6" t="s">
        <v>16464</v>
      </c>
      <c r="F6437" s="6" t="s">
        <v>16580</v>
      </c>
      <c r="G6437" s="6" t="s">
        <v>16</v>
      </c>
      <c r="H6437" s="5">
        <v>1</v>
      </c>
      <c r="I6437" s="6" t="s">
        <v>16580</v>
      </c>
      <c r="J6437" s="5">
        <v>260</v>
      </c>
    </row>
    <row r="6438" s="2" customFormat="1" spans="1:10">
      <c r="A6438" s="6">
        <f>6436</f>
        <v>6436</v>
      </c>
      <c r="B6438" s="6" t="s">
        <v>16581</v>
      </c>
      <c r="C6438" s="6" t="s">
        <v>12</v>
      </c>
      <c r="D6438" s="6" t="s">
        <v>16132</v>
      </c>
      <c r="E6438" s="6" t="s">
        <v>16464</v>
      </c>
      <c r="F6438" s="6" t="s">
        <v>16582</v>
      </c>
      <c r="G6438" s="6" t="s">
        <v>16</v>
      </c>
      <c r="H6438" s="5">
        <v>2</v>
      </c>
      <c r="I6438" s="6" t="s">
        <v>16583</v>
      </c>
      <c r="J6438" s="5">
        <v>513</v>
      </c>
    </row>
    <row r="6439" s="2" customFormat="1" spans="1:10">
      <c r="A6439" s="6">
        <f>6437</f>
        <v>6437</v>
      </c>
      <c r="B6439" s="6" t="s">
        <v>16584</v>
      </c>
      <c r="C6439" s="6" t="s">
        <v>12</v>
      </c>
      <c r="D6439" s="6" t="s">
        <v>16132</v>
      </c>
      <c r="E6439" s="6" t="s">
        <v>16464</v>
      </c>
      <c r="F6439" s="6" t="s">
        <v>16585</v>
      </c>
      <c r="G6439" s="6" t="s">
        <v>16</v>
      </c>
      <c r="H6439" s="5">
        <v>1</v>
      </c>
      <c r="I6439" s="6" t="s">
        <v>16585</v>
      </c>
      <c r="J6439" s="5">
        <v>260</v>
      </c>
    </row>
    <row r="6440" s="2" customFormat="1" spans="1:10">
      <c r="A6440" s="6">
        <f>6438</f>
        <v>6438</v>
      </c>
      <c r="B6440" s="6" t="s">
        <v>16586</v>
      </c>
      <c r="C6440" s="6" t="s">
        <v>12</v>
      </c>
      <c r="D6440" s="6" t="s">
        <v>16132</v>
      </c>
      <c r="E6440" s="6" t="s">
        <v>16464</v>
      </c>
      <c r="F6440" s="6" t="s">
        <v>16587</v>
      </c>
      <c r="G6440" s="6" t="s">
        <v>16</v>
      </c>
      <c r="H6440" s="5">
        <v>3</v>
      </c>
      <c r="I6440" s="6" t="s">
        <v>16588</v>
      </c>
      <c r="J6440" s="5">
        <v>580</v>
      </c>
    </row>
    <row r="6441" s="2" customFormat="1" spans="1:10">
      <c r="A6441" s="6">
        <f>6439</f>
        <v>6439</v>
      </c>
      <c r="B6441" s="6" t="s">
        <v>16589</v>
      </c>
      <c r="C6441" s="6" t="s">
        <v>12</v>
      </c>
      <c r="D6441" s="6" t="s">
        <v>16132</v>
      </c>
      <c r="E6441" s="6" t="s">
        <v>16464</v>
      </c>
      <c r="F6441" s="6" t="s">
        <v>16590</v>
      </c>
      <c r="G6441" s="6" t="s">
        <v>16</v>
      </c>
      <c r="H6441" s="5">
        <v>3</v>
      </c>
      <c r="I6441" s="6" t="s">
        <v>16591</v>
      </c>
      <c r="J6441" s="5">
        <v>496</v>
      </c>
    </row>
    <row r="6442" s="2" customFormat="1" ht="27" spans="1:10">
      <c r="A6442" s="6">
        <f>6440</f>
        <v>6440</v>
      </c>
      <c r="B6442" s="6" t="s">
        <v>16592</v>
      </c>
      <c r="C6442" s="6" t="s">
        <v>12</v>
      </c>
      <c r="D6442" s="6" t="s">
        <v>16132</v>
      </c>
      <c r="E6442" s="6" t="s">
        <v>16464</v>
      </c>
      <c r="F6442" s="6" t="s">
        <v>8218</v>
      </c>
      <c r="G6442" s="6" t="s">
        <v>16</v>
      </c>
      <c r="H6442" s="5">
        <v>4</v>
      </c>
      <c r="I6442" s="6" t="s">
        <v>16593</v>
      </c>
      <c r="J6442" s="5">
        <v>820</v>
      </c>
    </row>
    <row r="6443" s="2" customFormat="1" spans="1:10">
      <c r="A6443" s="6">
        <f>6441</f>
        <v>6441</v>
      </c>
      <c r="B6443" s="6" t="s">
        <v>16594</v>
      </c>
      <c r="C6443" s="6" t="s">
        <v>12</v>
      </c>
      <c r="D6443" s="6" t="s">
        <v>16132</v>
      </c>
      <c r="E6443" s="6" t="s">
        <v>16464</v>
      </c>
      <c r="F6443" s="6" t="s">
        <v>16595</v>
      </c>
      <c r="G6443" s="6" t="s">
        <v>16</v>
      </c>
      <c r="H6443" s="5">
        <v>1</v>
      </c>
      <c r="I6443" s="6" t="s">
        <v>16595</v>
      </c>
      <c r="J6443" s="5">
        <v>260</v>
      </c>
    </row>
    <row r="6444" s="2" customFormat="1" spans="1:10">
      <c r="A6444" s="6">
        <f>6442</f>
        <v>6442</v>
      </c>
      <c r="B6444" s="6" t="s">
        <v>16596</v>
      </c>
      <c r="C6444" s="6" t="s">
        <v>12</v>
      </c>
      <c r="D6444" s="6" t="s">
        <v>16132</v>
      </c>
      <c r="E6444" s="6" t="s">
        <v>16464</v>
      </c>
      <c r="F6444" s="6" t="s">
        <v>16597</v>
      </c>
      <c r="G6444" s="6" t="s">
        <v>16</v>
      </c>
      <c r="H6444" s="5">
        <v>1</v>
      </c>
      <c r="I6444" s="6" t="s">
        <v>16597</v>
      </c>
      <c r="J6444" s="5">
        <v>212</v>
      </c>
    </row>
    <row r="6445" s="2" customFormat="1" spans="1:10">
      <c r="A6445" s="6">
        <f>6443</f>
        <v>6443</v>
      </c>
      <c r="B6445" s="6" t="s">
        <v>16598</v>
      </c>
      <c r="C6445" s="6" t="s">
        <v>12</v>
      </c>
      <c r="D6445" s="6" t="s">
        <v>16132</v>
      </c>
      <c r="E6445" s="6" t="s">
        <v>16464</v>
      </c>
      <c r="F6445" s="6" t="s">
        <v>16599</v>
      </c>
      <c r="G6445" s="6" t="s">
        <v>16</v>
      </c>
      <c r="H6445" s="5">
        <v>1</v>
      </c>
      <c r="I6445" s="6" t="s">
        <v>16599</v>
      </c>
      <c r="J6445" s="5">
        <v>255</v>
      </c>
    </row>
    <row r="6446" s="2" customFormat="1" spans="1:10">
      <c r="A6446" s="6">
        <f>6444</f>
        <v>6444</v>
      </c>
      <c r="B6446" s="6" t="s">
        <v>16600</v>
      </c>
      <c r="C6446" s="6" t="s">
        <v>12</v>
      </c>
      <c r="D6446" s="6" t="s">
        <v>16132</v>
      </c>
      <c r="E6446" s="6" t="s">
        <v>16464</v>
      </c>
      <c r="F6446" s="6" t="s">
        <v>16601</v>
      </c>
      <c r="G6446" s="6" t="s">
        <v>16</v>
      </c>
      <c r="H6446" s="5">
        <v>3</v>
      </c>
      <c r="I6446" s="6" t="s">
        <v>16602</v>
      </c>
      <c r="J6446" s="5">
        <v>684</v>
      </c>
    </row>
    <row r="6447" s="2" customFormat="1" spans="1:10">
      <c r="A6447" s="6">
        <f>6445</f>
        <v>6445</v>
      </c>
      <c r="B6447" s="6" t="s">
        <v>16603</v>
      </c>
      <c r="C6447" s="6" t="s">
        <v>12</v>
      </c>
      <c r="D6447" s="6" t="s">
        <v>16132</v>
      </c>
      <c r="E6447" s="6" t="s">
        <v>16464</v>
      </c>
      <c r="F6447" s="6" t="s">
        <v>16604</v>
      </c>
      <c r="G6447" s="6" t="s">
        <v>16</v>
      </c>
      <c r="H6447" s="5">
        <v>1</v>
      </c>
      <c r="I6447" s="6" t="s">
        <v>16604</v>
      </c>
      <c r="J6447" s="5">
        <v>540</v>
      </c>
    </row>
    <row r="6448" s="2" customFormat="1" spans="1:10">
      <c r="A6448" s="6">
        <f>6446</f>
        <v>6446</v>
      </c>
      <c r="B6448" s="6" t="s">
        <v>16605</v>
      </c>
      <c r="C6448" s="6" t="s">
        <v>12</v>
      </c>
      <c r="D6448" s="6" t="s">
        <v>16132</v>
      </c>
      <c r="E6448" s="6" t="s">
        <v>16606</v>
      </c>
      <c r="F6448" s="6" t="s">
        <v>16607</v>
      </c>
      <c r="G6448" s="6" t="s">
        <v>16</v>
      </c>
      <c r="H6448" s="5">
        <v>2</v>
      </c>
      <c r="I6448" s="6" t="s">
        <v>16608</v>
      </c>
      <c r="J6448" s="5">
        <v>740</v>
      </c>
    </row>
    <row r="6449" s="2" customFormat="1" spans="1:10">
      <c r="A6449" s="6">
        <f>6447</f>
        <v>6447</v>
      </c>
      <c r="B6449" s="6" t="s">
        <v>16609</v>
      </c>
      <c r="C6449" s="6" t="s">
        <v>12</v>
      </c>
      <c r="D6449" s="6" t="s">
        <v>16132</v>
      </c>
      <c r="E6449" s="6" t="s">
        <v>16606</v>
      </c>
      <c r="F6449" s="6" t="s">
        <v>16610</v>
      </c>
      <c r="G6449" s="6" t="s">
        <v>16</v>
      </c>
      <c r="H6449" s="5">
        <v>1</v>
      </c>
      <c r="I6449" s="6" t="s">
        <v>16610</v>
      </c>
      <c r="J6449" s="5">
        <v>220</v>
      </c>
    </row>
    <row r="6450" s="2" customFormat="1" spans="1:10">
      <c r="A6450" s="6">
        <f>6448</f>
        <v>6448</v>
      </c>
      <c r="B6450" s="6" t="s">
        <v>16611</v>
      </c>
      <c r="C6450" s="6" t="s">
        <v>12</v>
      </c>
      <c r="D6450" s="6" t="s">
        <v>16132</v>
      </c>
      <c r="E6450" s="6" t="s">
        <v>16606</v>
      </c>
      <c r="F6450" s="6" t="s">
        <v>16612</v>
      </c>
      <c r="G6450" s="6" t="s">
        <v>16</v>
      </c>
      <c r="H6450" s="5">
        <v>3</v>
      </c>
      <c r="I6450" s="6" t="s">
        <v>16613</v>
      </c>
      <c r="J6450" s="5">
        <v>360</v>
      </c>
    </row>
    <row r="6451" s="2" customFormat="1" spans="1:10">
      <c r="A6451" s="6">
        <f>6449</f>
        <v>6449</v>
      </c>
      <c r="B6451" s="6" t="s">
        <v>16614</v>
      </c>
      <c r="C6451" s="6" t="s">
        <v>12</v>
      </c>
      <c r="D6451" s="6" t="s">
        <v>16132</v>
      </c>
      <c r="E6451" s="6" t="s">
        <v>16606</v>
      </c>
      <c r="F6451" s="6" t="s">
        <v>16615</v>
      </c>
      <c r="G6451" s="6" t="s">
        <v>16</v>
      </c>
      <c r="H6451" s="5">
        <v>1</v>
      </c>
      <c r="I6451" s="6" t="s">
        <v>16615</v>
      </c>
      <c r="J6451" s="5">
        <v>320</v>
      </c>
    </row>
    <row r="6452" s="2" customFormat="1" spans="1:10">
      <c r="A6452" s="6">
        <f>6450</f>
        <v>6450</v>
      </c>
      <c r="B6452" s="6" t="s">
        <v>16616</v>
      </c>
      <c r="C6452" s="6" t="s">
        <v>12</v>
      </c>
      <c r="D6452" s="6" t="s">
        <v>16132</v>
      </c>
      <c r="E6452" s="6" t="s">
        <v>16606</v>
      </c>
      <c r="F6452" s="6" t="s">
        <v>16617</v>
      </c>
      <c r="G6452" s="6" t="s">
        <v>16</v>
      </c>
      <c r="H6452" s="5">
        <v>4</v>
      </c>
      <c r="I6452" s="6" t="s">
        <v>16618</v>
      </c>
      <c r="J6452" s="5">
        <v>580</v>
      </c>
    </row>
    <row r="6453" s="2" customFormat="1" spans="1:10">
      <c r="A6453" s="6">
        <f>6451</f>
        <v>6451</v>
      </c>
      <c r="B6453" s="6" t="s">
        <v>16619</v>
      </c>
      <c r="C6453" s="6" t="s">
        <v>12</v>
      </c>
      <c r="D6453" s="6" t="s">
        <v>16132</v>
      </c>
      <c r="E6453" s="6" t="s">
        <v>16606</v>
      </c>
      <c r="F6453" s="6" t="s">
        <v>16620</v>
      </c>
      <c r="G6453" s="6" t="s">
        <v>16</v>
      </c>
      <c r="H6453" s="5">
        <v>3</v>
      </c>
      <c r="I6453" s="6" t="s">
        <v>16621</v>
      </c>
      <c r="J6453" s="5">
        <v>380</v>
      </c>
    </row>
    <row r="6454" s="2" customFormat="1" ht="27" spans="1:10">
      <c r="A6454" s="6">
        <f>6452</f>
        <v>6452</v>
      </c>
      <c r="B6454" s="6" t="s">
        <v>16622</v>
      </c>
      <c r="C6454" s="6" t="s">
        <v>12</v>
      </c>
      <c r="D6454" s="6" t="s">
        <v>16132</v>
      </c>
      <c r="E6454" s="6" t="s">
        <v>16606</v>
      </c>
      <c r="F6454" s="6" t="s">
        <v>16623</v>
      </c>
      <c r="G6454" s="6" t="s">
        <v>16</v>
      </c>
      <c r="H6454" s="5">
        <v>5</v>
      </c>
      <c r="I6454" s="6" t="s">
        <v>16624</v>
      </c>
      <c r="J6454" s="5">
        <v>900</v>
      </c>
    </row>
    <row r="6455" s="2" customFormat="1" ht="40.5" spans="1:10">
      <c r="A6455" s="6">
        <f>6453</f>
        <v>6453</v>
      </c>
      <c r="B6455" s="6" t="s">
        <v>16625</v>
      </c>
      <c r="C6455" s="6" t="s">
        <v>12</v>
      </c>
      <c r="D6455" s="6" t="s">
        <v>16132</v>
      </c>
      <c r="E6455" s="6" t="s">
        <v>16606</v>
      </c>
      <c r="F6455" s="6" t="s">
        <v>16626</v>
      </c>
      <c r="G6455" s="6" t="s">
        <v>16</v>
      </c>
      <c r="H6455" s="5">
        <v>7</v>
      </c>
      <c r="I6455" s="6" t="s">
        <v>16627</v>
      </c>
      <c r="J6455" s="5">
        <v>1480</v>
      </c>
    </row>
    <row r="6456" s="2" customFormat="1" ht="27" spans="1:10">
      <c r="A6456" s="6">
        <f>6454</f>
        <v>6454</v>
      </c>
      <c r="B6456" s="6" t="s">
        <v>16628</v>
      </c>
      <c r="C6456" s="6" t="s">
        <v>12</v>
      </c>
      <c r="D6456" s="6" t="s">
        <v>16132</v>
      </c>
      <c r="E6456" s="6" t="s">
        <v>16606</v>
      </c>
      <c r="F6456" s="6" t="s">
        <v>16629</v>
      </c>
      <c r="G6456" s="6" t="s">
        <v>16</v>
      </c>
      <c r="H6456" s="5">
        <v>4</v>
      </c>
      <c r="I6456" s="6" t="s">
        <v>16630</v>
      </c>
      <c r="J6456" s="5">
        <v>1160</v>
      </c>
    </row>
    <row r="6457" s="2" customFormat="1" spans="1:10">
      <c r="A6457" s="6">
        <f>6455</f>
        <v>6455</v>
      </c>
      <c r="B6457" s="6" t="s">
        <v>16631</v>
      </c>
      <c r="C6457" s="6" t="s">
        <v>12</v>
      </c>
      <c r="D6457" s="6" t="s">
        <v>16132</v>
      </c>
      <c r="E6457" s="6" t="s">
        <v>16606</v>
      </c>
      <c r="F6457" s="6" t="s">
        <v>16632</v>
      </c>
      <c r="G6457" s="6" t="s">
        <v>16</v>
      </c>
      <c r="H6457" s="5">
        <v>2</v>
      </c>
      <c r="I6457" s="6" t="s">
        <v>16633</v>
      </c>
      <c r="J6457" s="5">
        <v>540</v>
      </c>
    </row>
    <row r="6458" s="2" customFormat="1" spans="1:10">
      <c r="A6458" s="6">
        <f>6456</f>
        <v>6456</v>
      </c>
      <c r="B6458" s="6" t="s">
        <v>16634</v>
      </c>
      <c r="C6458" s="6" t="s">
        <v>12</v>
      </c>
      <c r="D6458" s="6" t="s">
        <v>16132</v>
      </c>
      <c r="E6458" s="6" t="s">
        <v>16606</v>
      </c>
      <c r="F6458" s="6" t="s">
        <v>16258</v>
      </c>
      <c r="G6458" s="6" t="s">
        <v>16</v>
      </c>
      <c r="H6458" s="5">
        <v>1</v>
      </c>
      <c r="I6458" s="6" t="s">
        <v>16258</v>
      </c>
      <c r="J6458" s="5">
        <v>220</v>
      </c>
    </row>
    <row r="6459" s="2" customFormat="1" ht="27" spans="1:10">
      <c r="A6459" s="6">
        <f>6457</f>
        <v>6457</v>
      </c>
      <c r="B6459" s="6" t="s">
        <v>16635</v>
      </c>
      <c r="C6459" s="6" t="s">
        <v>12</v>
      </c>
      <c r="D6459" s="6" t="s">
        <v>16132</v>
      </c>
      <c r="E6459" s="6" t="s">
        <v>16606</v>
      </c>
      <c r="F6459" s="6" t="s">
        <v>16636</v>
      </c>
      <c r="G6459" s="6" t="s">
        <v>16</v>
      </c>
      <c r="H6459" s="5">
        <v>4</v>
      </c>
      <c r="I6459" s="6" t="s">
        <v>16637</v>
      </c>
      <c r="J6459" s="5">
        <v>550</v>
      </c>
    </row>
    <row r="6460" s="2" customFormat="1" spans="1:10">
      <c r="A6460" s="6">
        <f>6458</f>
        <v>6458</v>
      </c>
      <c r="B6460" s="6" t="s">
        <v>16638</v>
      </c>
      <c r="C6460" s="6" t="s">
        <v>12</v>
      </c>
      <c r="D6460" s="6" t="s">
        <v>16132</v>
      </c>
      <c r="E6460" s="6" t="s">
        <v>16606</v>
      </c>
      <c r="F6460" s="6" t="s">
        <v>16639</v>
      </c>
      <c r="G6460" s="6" t="s">
        <v>16</v>
      </c>
      <c r="H6460" s="5">
        <v>1</v>
      </c>
      <c r="I6460" s="6" t="s">
        <v>16639</v>
      </c>
      <c r="J6460" s="5">
        <v>220</v>
      </c>
    </row>
    <row r="6461" s="2" customFormat="1" ht="27" spans="1:10">
      <c r="A6461" s="6">
        <f>6459</f>
        <v>6459</v>
      </c>
      <c r="B6461" s="6" t="s">
        <v>16640</v>
      </c>
      <c r="C6461" s="6" t="s">
        <v>12</v>
      </c>
      <c r="D6461" s="6" t="s">
        <v>16132</v>
      </c>
      <c r="E6461" s="6" t="s">
        <v>16606</v>
      </c>
      <c r="F6461" s="6" t="s">
        <v>16641</v>
      </c>
      <c r="G6461" s="6" t="s">
        <v>16</v>
      </c>
      <c r="H6461" s="5">
        <v>6</v>
      </c>
      <c r="I6461" s="6" t="s">
        <v>16642</v>
      </c>
      <c r="J6461" s="5">
        <v>900</v>
      </c>
    </row>
    <row r="6462" s="2" customFormat="1" ht="27" spans="1:10">
      <c r="A6462" s="6">
        <f>6460</f>
        <v>6460</v>
      </c>
      <c r="B6462" s="6" t="s">
        <v>16643</v>
      </c>
      <c r="C6462" s="6" t="s">
        <v>12</v>
      </c>
      <c r="D6462" s="6" t="s">
        <v>16132</v>
      </c>
      <c r="E6462" s="6" t="s">
        <v>16606</v>
      </c>
      <c r="F6462" s="6" t="s">
        <v>16644</v>
      </c>
      <c r="G6462" s="6" t="s">
        <v>16</v>
      </c>
      <c r="H6462" s="5">
        <v>4</v>
      </c>
      <c r="I6462" s="6" t="s">
        <v>16645</v>
      </c>
      <c r="J6462" s="5">
        <v>600</v>
      </c>
    </row>
    <row r="6463" s="2" customFormat="1" spans="1:10">
      <c r="A6463" s="6">
        <f>6461</f>
        <v>6461</v>
      </c>
      <c r="B6463" s="6" t="s">
        <v>16646</v>
      </c>
      <c r="C6463" s="6" t="s">
        <v>12</v>
      </c>
      <c r="D6463" s="6" t="s">
        <v>16132</v>
      </c>
      <c r="E6463" s="6" t="s">
        <v>16606</v>
      </c>
      <c r="F6463" s="6" t="s">
        <v>16647</v>
      </c>
      <c r="G6463" s="6" t="s">
        <v>16</v>
      </c>
      <c r="H6463" s="5">
        <v>2</v>
      </c>
      <c r="I6463" s="6" t="s">
        <v>16648</v>
      </c>
      <c r="J6463" s="5">
        <v>420</v>
      </c>
    </row>
    <row r="6464" s="2" customFormat="1" spans="1:10">
      <c r="A6464" s="6">
        <f>6462</f>
        <v>6462</v>
      </c>
      <c r="B6464" s="6" t="s">
        <v>16649</v>
      </c>
      <c r="C6464" s="6" t="s">
        <v>12</v>
      </c>
      <c r="D6464" s="6" t="s">
        <v>16132</v>
      </c>
      <c r="E6464" s="6" t="s">
        <v>16606</v>
      </c>
      <c r="F6464" s="6" t="s">
        <v>16650</v>
      </c>
      <c r="G6464" s="6" t="s">
        <v>16</v>
      </c>
      <c r="H6464" s="5">
        <v>1</v>
      </c>
      <c r="I6464" s="6" t="s">
        <v>16650</v>
      </c>
      <c r="J6464" s="5">
        <v>220</v>
      </c>
    </row>
    <row r="6465" s="2" customFormat="1" spans="1:10">
      <c r="A6465" s="6">
        <f>6463</f>
        <v>6463</v>
      </c>
      <c r="B6465" s="6" t="s">
        <v>16651</v>
      </c>
      <c r="C6465" s="6" t="s">
        <v>12</v>
      </c>
      <c r="D6465" s="6" t="s">
        <v>16132</v>
      </c>
      <c r="E6465" s="6" t="s">
        <v>16606</v>
      </c>
      <c r="F6465" s="6" t="s">
        <v>16652</v>
      </c>
      <c r="G6465" s="6" t="s">
        <v>16</v>
      </c>
      <c r="H6465" s="5">
        <v>2</v>
      </c>
      <c r="I6465" s="6" t="s">
        <v>16653</v>
      </c>
      <c r="J6465" s="5">
        <v>760</v>
      </c>
    </row>
    <row r="6466" s="2" customFormat="1" ht="27" spans="1:10">
      <c r="A6466" s="6">
        <f>6464</f>
        <v>6464</v>
      </c>
      <c r="B6466" s="6" t="s">
        <v>16654</v>
      </c>
      <c r="C6466" s="6" t="s">
        <v>12</v>
      </c>
      <c r="D6466" s="6" t="s">
        <v>16132</v>
      </c>
      <c r="E6466" s="6" t="s">
        <v>16606</v>
      </c>
      <c r="F6466" s="6" t="s">
        <v>16655</v>
      </c>
      <c r="G6466" s="6" t="s">
        <v>16</v>
      </c>
      <c r="H6466" s="5">
        <v>4</v>
      </c>
      <c r="I6466" s="6" t="s">
        <v>16656</v>
      </c>
      <c r="J6466" s="5">
        <v>748</v>
      </c>
    </row>
    <row r="6467" s="2" customFormat="1" ht="27" spans="1:10">
      <c r="A6467" s="6">
        <f>6465</f>
        <v>6465</v>
      </c>
      <c r="B6467" s="6" t="s">
        <v>16657</v>
      </c>
      <c r="C6467" s="6" t="s">
        <v>12</v>
      </c>
      <c r="D6467" s="6" t="s">
        <v>16132</v>
      </c>
      <c r="E6467" s="6" t="s">
        <v>16606</v>
      </c>
      <c r="F6467" s="6" t="s">
        <v>16658</v>
      </c>
      <c r="G6467" s="6" t="s">
        <v>16</v>
      </c>
      <c r="H6467" s="5">
        <v>4</v>
      </c>
      <c r="I6467" s="6" t="s">
        <v>16659</v>
      </c>
      <c r="J6467" s="5">
        <v>280</v>
      </c>
    </row>
    <row r="6468" s="2" customFormat="1" spans="1:10">
      <c r="A6468" s="6">
        <f>6466</f>
        <v>6466</v>
      </c>
      <c r="B6468" s="6" t="s">
        <v>16660</v>
      </c>
      <c r="C6468" s="6" t="s">
        <v>12</v>
      </c>
      <c r="D6468" s="6" t="s">
        <v>16132</v>
      </c>
      <c r="E6468" s="6" t="s">
        <v>16606</v>
      </c>
      <c r="F6468" s="6" t="s">
        <v>16661</v>
      </c>
      <c r="G6468" s="6" t="s">
        <v>16</v>
      </c>
      <c r="H6468" s="5">
        <v>3</v>
      </c>
      <c r="I6468" s="6" t="s">
        <v>16662</v>
      </c>
      <c r="J6468" s="5">
        <v>840</v>
      </c>
    </row>
    <row r="6469" s="2" customFormat="1" ht="27" spans="1:10">
      <c r="A6469" s="6">
        <f>6467</f>
        <v>6467</v>
      </c>
      <c r="B6469" s="6" t="s">
        <v>16663</v>
      </c>
      <c r="C6469" s="6" t="s">
        <v>12</v>
      </c>
      <c r="D6469" s="6" t="s">
        <v>16132</v>
      </c>
      <c r="E6469" s="6" t="s">
        <v>16606</v>
      </c>
      <c r="F6469" s="6" t="s">
        <v>16664</v>
      </c>
      <c r="G6469" s="6" t="s">
        <v>16</v>
      </c>
      <c r="H6469" s="5">
        <v>6</v>
      </c>
      <c r="I6469" s="6" t="s">
        <v>16665</v>
      </c>
      <c r="J6469" s="5">
        <v>1420</v>
      </c>
    </row>
    <row r="6470" s="2" customFormat="1" ht="27" spans="1:10">
      <c r="A6470" s="6">
        <f>6468</f>
        <v>6468</v>
      </c>
      <c r="B6470" s="6" t="s">
        <v>16666</v>
      </c>
      <c r="C6470" s="6" t="s">
        <v>12</v>
      </c>
      <c r="D6470" s="6" t="s">
        <v>16132</v>
      </c>
      <c r="E6470" s="6" t="s">
        <v>16606</v>
      </c>
      <c r="F6470" s="6" t="s">
        <v>16667</v>
      </c>
      <c r="G6470" s="6" t="s">
        <v>16</v>
      </c>
      <c r="H6470" s="5">
        <v>5</v>
      </c>
      <c r="I6470" s="6" t="s">
        <v>16668</v>
      </c>
      <c r="J6470" s="5">
        <v>500</v>
      </c>
    </row>
    <row r="6471" s="2" customFormat="1" spans="1:10">
      <c r="A6471" s="6">
        <f>6469</f>
        <v>6469</v>
      </c>
      <c r="B6471" s="6" t="s">
        <v>16669</v>
      </c>
      <c r="C6471" s="6" t="s">
        <v>12</v>
      </c>
      <c r="D6471" s="6" t="s">
        <v>16132</v>
      </c>
      <c r="E6471" s="6" t="s">
        <v>16606</v>
      </c>
      <c r="F6471" s="6" t="s">
        <v>16670</v>
      </c>
      <c r="G6471" s="6" t="s">
        <v>16</v>
      </c>
      <c r="H6471" s="5">
        <v>1</v>
      </c>
      <c r="I6471" s="6" t="s">
        <v>16670</v>
      </c>
      <c r="J6471" s="5">
        <v>320</v>
      </c>
    </row>
    <row r="6472" s="2" customFormat="1" spans="1:10">
      <c r="A6472" s="6">
        <f>6470</f>
        <v>6470</v>
      </c>
      <c r="B6472" s="6" t="s">
        <v>16671</v>
      </c>
      <c r="C6472" s="6" t="s">
        <v>12</v>
      </c>
      <c r="D6472" s="6" t="s">
        <v>16132</v>
      </c>
      <c r="E6472" s="6" t="s">
        <v>16606</v>
      </c>
      <c r="F6472" s="6" t="s">
        <v>16672</v>
      </c>
      <c r="G6472" s="6" t="s">
        <v>16</v>
      </c>
      <c r="H6472" s="5">
        <v>2</v>
      </c>
      <c r="I6472" s="6" t="s">
        <v>16673</v>
      </c>
      <c r="J6472" s="5">
        <v>566</v>
      </c>
    </row>
    <row r="6473" s="2" customFormat="1" spans="1:10">
      <c r="A6473" s="6">
        <f>6471</f>
        <v>6471</v>
      </c>
      <c r="B6473" s="6" t="s">
        <v>16674</v>
      </c>
      <c r="C6473" s="6" t="s">
        <v>12</v>
      </c>
      <c r="D6473" s="6" t="s">
        <v>16132</v>
      </c>
      <c r="E6473" s="6" t="s">
        <v>16606</v>
      </c>
      <c r="F6473" s="6" t="s">
        <v>16675</v>
      </c>
      <c r="G6473" s="6" t="s">
        <v>16</v>
      </c>
      <c r="H6473" s="5">
        <v>1</v>
      </c>
      <c r="I6473" s="6" t="s">
        <v>16675</v>
      </c>
      <c r="J6473" s="5">
        <v>290</v>
      </c>
    </row>
    <row r="6474" s="2" customFormat="1" spans="1:10">
      <c r="A6474" s="6">
        <f>6472</f>
        <v>6472</v>
      </c>
      <c r="B6474" s="6" t="s">
        <v>16676</v>
      </c>
      <c r="C6474" s="6" t="s">
        <v>12</v>
      </c>
      <c r="D6474" s="6" t="s">
        <v>16132</v>
      </c>
      <c r="E6474" s="6" t="s">
        <v>16606</v>
      </c>
      <c r="F6474" s="6" t="s">
        <v>16677</v>
      </c>
      <c r="G6474" s="6" t="s">
        <v>16</v>
      </c>
      <c r="H6474" s="5">
        <v>3</v>
      </c>
      <c r="I6474" s="6" t="s">
        <v>16678</v>
      </c>
      <c r="J6474" s="5">
        <v>960</v>
      </c>
    </row>
    <row r="6475" s="2" customFormat="1" ht="27" spans="1:10">
      <c r="A6475" s="6">
        <f>6473</f>
        <v>6473</v>
      </c>
      <c r="B6475" s="6" t="s">
        <v>16679</v>
      </c>
      <c r="C6475" s="6" t="s">
        <v>12</v>
      </c>
      <c r="D6475" s="6" t="s">
        <v>16132</v>
      </c>
      <c r="E6475" s="6" t="s">
        <v>16606</v>
      </c>
      <c r="F6475" s="6" t="s">
        <v>16680</v>
      </c>
      <c r="G6475" s="6" t="s">
        <v>16</v>
      </c>
      <c r="H6475" s="5">
        <v>4</v>
      </c>
      <c r="I6475" s="6" t="s">
        <v>16681</v>
      </c>
      <c r="J6475" s="5">
        <v>280</v>
      </c>
    </row>
    <row r="6476" s="2" customFormat="1" spans="1:10">
      <c r="A6476" s="6">
        <f>6474</f>
        <v>6474</v>
      </c>
      <c r="B6476" s="6" t="s">
        <v>16682</v>
      </c>
      <c r="C6476" s="6" t="s">
        <v>12</v>
      </c>
      <c r="D6476" s="6" t="s">
        <v>16132</v>
      </c>
      <c r="E6476" s="6" t="s">
        <v>16606</v>
      </c>
      <c r="F6476" s="6" t="s">
        <v>16683</v>
      </c>
      <c r="G6476" s="6" t="s">
        <v>16</v>
      </c>
      <c r="H6476" s="5">
        <v>2</v>
      </c>
      <c r="I6476" s="6" t="s">
        <v>16684</v>
      </c>
      <c r="J6476" s="5">
        <v>440</v>
      </c>
    </row>
    <row r="6477" s="2" customFormat="1" spans="1:10">
      <c r="A6477" s="6">
        <f>6475</f>
        <v>6475</v>
      </c>
      <c r="B6477" s="6" t="s">
        <v>16685</v>
      </c>
      <c r="C6477" s="6" t="s">
        <v>12</v>
      </c>
      <c r="D6477" s="6" t="s">
        <v>16132</v>
      </c>
      <c r="E6477" s="6" t="s">
        <v>16606</v>
      </c>
      <c r="F6477" s="6" t="s">
        <v>16686</v>
      </c>
      <c r="G6477" s="6" t="s">
        <v>16</v>
      </c>
      <c r="H6477" s="5">
        <v>3</v>
      </c>
      <c r="I6477" s="6" t="s">
        <v>16687</v>
      </c>
      <c r="J6477" s="5">
        <v>340</v>
      </c>
    </row>
    <row r="6478" s="2" customFormat="1" spans="1:10">
      <c r="A6478" s="6">
        <f>6476</f>
        <v>6476</v>
      </c>
      <c r="B6478" s="6" t="s">
        <v>16688</v>
      </c>
      <c r="C6478" s="6" t="s">
        <v>12</v>
      </c>
      <c r="D6478" s="6" t="s">
        <v>16132</v>
      </c>
      <c r="E6478" s="6" t="s">
        <v>16606</v>
      </c>
      <c r="F6478" s="6" t="s">
        <v>16689</v>
      </c>
      <c r="G6478" s="6" t="s">
        <v>16</v>
      </c>
      <c r="H6478" s="5">
        <v>1</v>
      </c>
      <c r="I6478" s="6" t="s">
        <v>16689</v>
      </c>
      <c r="J6478" s="5">
        <v>260</v>
      </c>
    </row>
    <row r="6479" s="2" customFormat="1" spans="1:10">
      <c r="A6479" s="6">
        <f>6477</f>
        <v>6477</v>
      </c>
      <c r="B6479" s="6" t="s">
        <v>16690</v>
      </c>
      <c r="C6479" s="6" t="s">
        <v>12</v>
      </c>
      <c r="D6479" s="6" t="s">
        <v>16132</v>
      </c>
      <c r="E6479" s="6" t="s">
        <v>16606</v>
      </c>
      <c r="F6479" s="6" t="s">
        <v>16691</v>
      </c>
      <c r="G6479" s="6" t="s">
        <v>16</v>
      </c>
      <c r="H6479" s="5">
        <v>3</v>
      </c>
      <c r="I6479" s="6" t="s">
        <v>16692</v>
      </c>
      <c r="J6479" s="5">
        <v>580</v>
      </c>
    </row>
    <row r="6480" s="2" customFormat="1" spans="1:10">
      <c r="A6480" s="6">
        <f>6478</f>
        <v>6478</v>
      </c>
      <c r="B6480" s="6" t="s">
        <v>16693</v>
      </c>
      <c r="C6480" s="6" t="s">
        <v>12</v>
      </c>
      <c r="D6480" s="6" t="s">
        <v>16132</v>
      </c>
      <c r="E6480" s="6" t="s">
        <v>16606</v>
      </c>
      <c r="F6480" s="6" t="s">
        <v>16694</v>
      </c>
      <c r="G6480" s="6" t="s">
        <v>16</v>
      </c>
      <c r="H6480" s="5">
        <v>3</v>
      </c>
      <c r="I6480" s="6" t="s">
        <v>16695</v>
      </c>
      <c r="J6480" s="5">
        <v>515</v>
      </c>
    </row>
    <row r="6481" s="2" customFormat="1" spans="1:10">
      <c r="A6481" s="6">
        <f>6479</f>
        <v>6479</v>
      </c>
      <c r="B6481" s="6" t="s">
        <v>16696</v>
      </c>
      <c r="C6481" s="6" t="s">
        <v>12</v>
      </c>
      <c r="D6481" s="6" t="s">
        <v>16132</v>
      </c>
      <c r="E6481" s="6" t="s">
        <v>16606</v>
      </c>
      <c r="F6481" s="6" t="s">
        <v>16697</v>
      </c>
      <c r="G6481" s="6" t="s">
        <v>16</v>
      </c>
      <c r="H6481" s="5">
        <v>1</v>
      </c>
      <c r="I6481" s="6" t="s">
        <v>16697</v>
      </c>
      <c r="J6481" s="5">
        <v>260</v>
      </c>
    </row>
    <row r="6482" s="2" customFormat="1" spans="1:10">
      <c r="A6482" s="6">
        <f>6480</f>
        <v>6480</v>
      </c>
      <c r="B6482" s="6" t="s">
        <v>16698</v>
      </c>
      <c r="C6482" s="6" t="s">
        <v>12</v>
      </c>
      <c r="D6482" s="6" t="s">
        <v>16132</v>
      </c>
      <c r="E6482" s="6" t="s">
        <v>16606</v>
      </c>
      <c r="F6482" s="6" t="s">
        <v>16699</v>
      </c>
      <c r="G6482" s="6" t="s">
        <v>16</v>
      </c>
      <c r="H6482" s="5">
        <v>2</v>
      </c>
      <c r="I6482" s="6" t="s">
        <v>16700</v>
      </c>
      <c r="J6482" s="5">
        <v>340</v>
      </c>
    </row>
    <row r="6483" s="2" customFormat="1" spans="1:10">
      <c r="A6483" s="6">
        <f>6481</f>
        <v>6481</v>
      </c>
      <c r="B6483" s="6" t="s">
        <v>16701</v>
      </c>
      <c r="C6483" s="6" t="s">
        <v>12</v>
      </c>
      <c r="D6483" s="6" t="s">
        <v>16132</v>
      </c>
      <c r="E6483" s="6" t="s">
        <v>16606</v>
      </c>
      <c r="F6483" s="6" t="s">
        <v>16702</v>
      </c>
      <c r="G6483" s="6" t="s">
        <v>16</v>
      </c>
      <c r="H6483" s="5">
        <v>3</v>
      </c>
      <c r="I6483" s="6" t="s">
        <v>16703</v>
      </c>
      <c r="J6483" s="5">
        <v>591</v>
      </c>
    </row>
    <row r="6484" s="2" customFormat="1" ht="27" spans="1:10">
      <c r="A6484" s="6">
        <f>6482</f>
        <v>6482</v>
      </c>
      <c r="B6484" s="6" t="s">
        <v>16704</v>
      </c>
      <c r="C6484" s="6" t="s">
        <v>12</v>
      </c>
      <c r="D6484" s="6" t="s">
        <v>16132</v>
      </c>
      <c r="E6484" s="6" t="s">
        <v>16606</v>
      </c>
      <c r="F6484" s="6" t="s">
        <v>16705</v>
      </c>
      <c r="G6484" s="6" t="s">
        <v>16</v>
      </c>
      <c r="H6484" s="5">
        <v>6</v>
      </c>
      <c r="I6484" s="6" t="s">
        <v>16706</v>
      </c>
      <c r="J6484" s="5">
        <v>1620</v>
      </c>
    </row>
    <row r="6485" s="2" customFormat="1" spans="1:10">
      <c r="A6485" s="6">
        <f>6483</f>
        <v>6483</v>
      </c>
      <c r="B6485" s="6" t="s">
        <v>16707</v>
      </c>
      <c r="C6485" s="6" t="s">
        <v>12</v>
      </c>
      <c r="D6485" s="6" t="s">
        <v>16132</v>
      </c>
      <c r="E6485" s="6" t="s">
        <v>16606</v>
      </c>
      <c r="F6485" s="6" t="s">
        <v>16708</v>
      </c>
      <c r="G6485" s="6" t="s">
        <v>16</v>
      </c>
      <c r="H6485" s="5">
        <v>3</v>
      </c>
      <c r="I6485" s="6" t="s">
        <v>16709</v>
      </c>
      <c r="J6485" s="5">
        <v>466</v>
      </c>
    </row>
    <row r="6486" s="2" customFormat="1" spans="1:10">
      <c r="A6486" s="6">
        <f>6484</f>
        <v>6484</v>
      </c>
      <c r="B6486" s="6" t="s">
        <v>16710</v>
      </c>
      <c r="C6486" s="6" t="s">
        <v>12</v>
      </c>
      <c r="D6486" s="6" t="s">
        <v>16132</v>
      </c>
      <c r="E6486" s="6" t="s">
        <v>16606</v>
      </c>
      <c r="F6486" s="6" t="s">
        <v>16711</v>
      </c>
      <c r="G6486" s="6" t="s">
        <v>16</v>
      </c>
      <c r="H6486" s="5">
        <v>1</v>
      </c>
      <c r="I6486" s="6" t="s">
        <v>16711</v>
      </c>
      <c r="J6486" s="5">
        <v>197</v>
      </c>
    </row>
    <row r="6487" s="2" customFormat="1" spans="1:10">
      <c r="A6487" s="6">
        <f>6485</f>
        <v>6485</v>
      </c>
      <c r="B6487" s="6" t="s">
        <v>16712</v>
      </c>
      <c r="C6487" s="6" t="s">
        <v>12</v>
      </c>
      <c r="D6487" s="6" t="s">
        <v>16132</v>
      </c>
      <c r="E6487" s="6" t="s">
        <v>16606</v>
      </c>
      <c r="F6487" s="6" t="s">
        <v>16713</v>
      </c>
      <c r="G6487" s="6" t="s">
        <v>16</v>
      </c>
      <c r="H6487" s="5">
        <v>1</v>
      </c>
      <c r="I6487" s="6" t="s">
        <v>16713</v>
      </c>
      <c r="J6487" s="5">
        <v>420</v>
      </c>
    </row>
    <row r="6488" s="2" customFormat="1" spans="1:10">
      <c r="A6488" s="6">
        <f>6486</f>
        <v>6486</v>
      </c>
      <c r="B6488" s="6" t="s">
        <v>16714</v>
      </c>
      <c r="C6488" s="6" t="s">
        <v>12</v>
      </c>
      <c r="D6488" s="6" t="s">
        <v>16132</v>
      </c>
      <c r="E6488" s="6" t="s">
        <v>16606</v>
      </c>
      <c r="F6488" s="6" t="s">
        <v>16715</v>
      </c>
      <c r="G6488" s="6" t="s">
        <v>16</v>
      </c>
      <c r="H6488" s="5">
        <v>2</v>
      </c>
      <c r="I6488" s="6" t="s">
        <v>16716</v>
      </c>
      <c r="J6488" s="5">
        <v>320</v>
      </c>
    </row>
    <row r="6489" s="2" customFormat="1" spans="1:10">
      <c r="A6489" s="6">
        <f>6487</f>
        <v>6487</v>
      </c>
      <c r="B6489" s="6" t="s">
        <v>16717</v>
      </c>
      <c r="C6489" s="6" t="s">
        <v>12</v>
      </c>
      <c r="D6489" s="6" t="s">
        <v>16132</v>
      </c>
      <c r="E6489" s="6" t="s">
        <v>16606</v>
      </c>
      <c r="F6489" s="6" t="s">
        <v>16718</v>
      </c>
      <c r="G6489" s="6" t="s">
        <v>16</v>
      </c>
      <c r="H6489" s="5">
        <v>3</v>
      </c>
      <c r="I6489" s="6" t="s">
        <v>16719</v>
      </c>
      <c r="J6489" s="5">
        <v>586</v>
      </c>
    </row>
    <row r="6490" s="2" customFormat="1" spans="1:10">
      <c r="A6490" s="6">
        <f>6488</f>
        <v>6488</v>
      </c>
      <c r="B6490" s="6" t="s">
        <v>16720</v>
      </c>
      <c r="C6490" s="6" t="s">
        <v>12</v>
      </c>
      <c r="D6490" s="6" t="s">
        <v>16132</v>
      </c>
      <c r="E6490" s="6" t="s">
        <v>16606</v>
      </c>
      <c r="F6490" s="6" t="s">
        <v>16721</v>
      </c>
      <c r="G6490" s="6" t="s">
        <v>16</v>
      </c>
      <c r="H6490" s="5">
        <v>1</v>
      </c>
      <c r="I6490" s="6" t="s">
        <v>16721</v>
      </c>
      <c r="J6490" s="5">
        <v>233</v>
      </c>
    </row>
    <row r="6491" s="2" customFormat="1" spans="1:10">
      <c r="A6491" s="6">
        <f>6489</f>
        <v>6489</v>
      </c>
      <c r="B6491" s="6" t="s">
        <v>16722</v>
      </c>
      <c r="C6491" s="6" t="s">
        <v>12</v>
      </c>
      <c r="D6491" s="6" t="s">
        <v>16132</v>
      </c>
      <c r="E6491" s="6" t="s">
        <v>16723</v>
      </c>
      <c r="F6491" s="6" t="s">
        <v>16724</v>
      </c>
      <c r="G6491" s="6" t="s">
        <v>16</v>
      </c>
      <c r="H6491" s="5">
        <v>2</v>
      </c>
      <c r="I6491" s="6" t="s">
        <v>16725</v>
      </c>
      <c r="J6491" s="5">
        <v>820</v>
      </c>
    </row>
    <row r="6492" s="2" customFormat="1" spans="1:10">
      <c r="A6492" s="6">
        <f>6490</f>
        <v>6490</v>
      </c>
      <c r="B6492" s="6" t="s">
        <v>16726</v>
      </c>
      <c r="C6492" s="6" t="s">
        <v>12</v>
      </c>
      <c r="D6492" s="6" t="s">
        <v>16132</v>
      </c>
      <c r="E6492" s="6" t="s">
        <v>16723</v>
      </c>
      <c r="F6492" s="6" t="s">
        <v>16727</v>
      </c>
      <c r="G6492" s="6" t="s">
        <v>16</v>
      </c>
      <c r="H6492" s="5">
        <v>1</v>
      </c>
      <c r="I6492" s="6" t="s">
        <v>16727</v>
      </c>
      <c r="J6492" s="5">
        <v>410</v>
      </c>
    </row>
    <row r="6493" s="2" customFormat="1" spans="1:10">
      <c r="A6493" s="6">
        <f>6491</f>
        <v>6491</v>
      </c>
      <c r="B6493" s="6" t="s">
        <v>16728</v>
      </c>
      <c r="C6493" s="6" t="s">
        <v>12</v>
      </c>
      <c r="D6493" s="6" t="s">
        <v>16132</v>
      </c>
      <c r="E6493" s="6" t="s">
        <v>16723</v>
      </c>
      <c r="F6493" s="6" t="s">
        <v>9962</v>
      </c>
      <c r="G6493" s="6" t="s">
        <v>16</v>
      </c>
      <c r="H6493" s="5">
        <v>3</v>
      </c>
      <c r="I6493" s="6" t="s">
        <v>16729</v>
      </c>
      <c r="J6493" s="5">
        <v>880</v>
      </c>
    </row>
    <row r="6494" s="2" customFormat="1" spans="1:10">
      <c r="A6494" s="6">
        <f>6492</f>
        <v>6492</v>
      </c>
      <c r="B6494" s="6" t="s">
        <v>16730</v>
      </c>
      <c r="C6494" s="6" t="s">
        <v>12</v>
      </c>
      <c r="D6494" s="6" t="s">
        <v>16132</v>
      </c>
      <c r="E6494" s="6" t="s">
        <v>16723</v>
      </c>
      <c r="F6494" s="6" t="s">
        <v>16731</v>
      </c>
      <c r="G6494" s="6" t="s">
        <v>16</v>
      </c>
      <c r="H6494" s="5">
        <v>3</v>
      </c>
      <c r="I6494" s="6" t="s">
        <v>16732</v>
      </c>
      <c r="J6494" s="5">
        <v>380</v>
      </c>
    </row>
    <row r="6495" s="2" customFormat="1" spans="1:10">
      <c r="A6495" s="6">
        <f>6493</f>
        <v>6493</v>
      </c>
      <c r="B6495" s="6" t="s">
        <v>16733</v>
      </c>
      <c r="C6495" s="6" t="s">
        <v>12</v>
      </c>
      <c r="D6495" s="6" t="s">
        <v>16132</v>
      </c>
      <c r="E6495" s="6" t="s">
        <v>16723</v>
      </c>
      <c r="F6495" s="6" t="s">
        <v>16734</v>
      </c>
      <c r="G6495" s="6" t="s">
        <v>16</v>
      </c>
      <c r="H6495" s="5">
        <v>2</v>
      </c>
      <c r="I6495" s="6" t="s">
        <v>16735</v>
      </c>
      <c r="J6495" s="5">
        <v>420</v>
      </c>
    </row>
    <row r="6496" s="2" customFormat="1" ht="27" spans="1:10">
      <c r="A6496" s="6">
        <f>6494</f>
        <v>6494</v>
      </c>
      <c r="B6496" s="6" t="s">
        <v>16736</v>
      </c>
      <c r="C6496" s="6" t="s">
        <v>12</v>
      </c>
      <c r="D6496" s="6" t="s">
        <v>16132</v>
      </c>
      <c r="E6496" s="6" t="s">
        <v>16723</v>
      </c>
      <c r="F6496" s="6" t="s">
        <v>16737</v>
      </c>
      <c r="G6496" s="6" t="s">
        <v>16</v>
      </c>
      <c r="H6496" s="5">
        <v>5</v>
      </c>
      <c r="I6496" s="6" t="s">
        <v>16738</v>
      </c>
      <c r="J6496" s="5">
        <v>930</v>
      </c>
    </row>
    <row r="6497" s="2" customFormat="1" ht="27" spans="1:10">
      <c r="A6497" s="6">
        <f>6495</f>
        <v>6495</v>
      </c>
      <c r="B6497" s="6" t="s">
        <v>16739</v>
      </c>
      <c r="C6497" s="6" t="s">
        <v>12</v>
      </c>
      <c r="D6497" s="6" t="s">
        <v>16132</v>
      </c>
      <c r="E6497" s="6" t="s">
        <v>16723</v>
      </c>
      <c r="F6497" s="6" t="s">
        <v>16740</v>
      </c>
      <c r="G6497" s="6" t="s">
        <v>16</v>
      </c>
      <c r="H6497" s="5">
        <v>4</v>
      </c>
      <c r="I6497" s="6" t="s">
        <v>16741</v>
      </c>
      <c r="J6497" s="5">
        <v>440</v>
      </c>
    </row>
    <row r="6498" s="2" customFormat="1" spans="1:10">
      <c r="A6498" s="6">
        <f>6496</f>
        <v>6496</v>
      </c>
      <c r="B6498" s="6" t="s">
        <v>16742</v>
      </c>
      <c r="C6498" s="6" t="s">
        <v>12</v>
      </c>
      <c r="D6498" s="6" t="s">
        <v>16132</v>
      </c>
      <c r="E6498" s="6" t="s">
        <v>16723</v>
      </c>
      <c r="F6498" s="6" t="s">
        <v>16743</v>
      </c>
      <c r="G6498" s="6" t="s">
        <v>16</v>
      </c>
      <c r="H6498" s="5">
        <v>1</v>
      </c>
      <c r="I6498" s="6" t="s">
        <v>16743</v>
      </c>
      <c r="J6498" s="5">
        <v>540</v>
      </c>
    </row>
    <row r="6499" s="2" customFormat="1" ht="27" spans="1:10">
      <c r="A6499" s="6">
        <f>6497</f>
        <v>6497</v>
      </c>
      <c r="B6499" s="6" t="s">
        <v>16744</v>
      </c>
      <c r="C6499" s="6" t="s">
        <v>12</v>
      </c>
      <c r="D6499" s="6" t="s">
        <v>16132</v>
      </c>
      <c r="E6499" s="6" t="s">
        <v>16723</v>
      </c>
      <c r="F6499" s="6" t="s">
        <v>16745</v>
      </c>
      <c r="G6499" s="6" t="s">
        <v>16</v>
      </c>
      <c r="H6499" s="5">
        <v>4</v>
      </c>
      <c r="I6499" s="6" t="s">
        <v>16746</v>
      </c>
      <c r="J6499" s="5">
        <v>1840</v>
      </c>
    </row>
    <row r="6500" s="2" customFormat="1" spans="1:10">
      <c r="A6500" s="6">
        <f>6498</f>
        <v>6498</v>
      </c>
      <c r="B6500" s="6" t="s">
        <v>16747</v>
      </c>
      <c r="C6500" s="6" t="s">
        <v>12</v>
      </c>
      <c r="D6500" s="6" t="s">
        <v>16132</v>
      </c>
      <c r="E6500" s="6" t="s">
        <v>16723</v>
      </c>
      <c r="F6500" s="6" t="s">
        <v>16748</v>
      </c>
      <c r="G6500" s="6" t="s">
        <v>16</v>
      </c>
      <c r="H6500" s="5">
        <v>1</v>
      </c>
      <c r="I6500" s="6" t="s">
        <v>16748</v>
      </c>
      <c r="J6500" s="5">
        <v>440</v>
      </c>
    </row>
    <row r="6501" s="2" customFormat="1" spans="1:10">
      <c r="A6501" s="6">
        <f>6499</f>
        <v>6499</v>
      </c>
      <c r="B6501" s="6" t="s">
        <v>16749</v>
      </c>
      <c r="C6501" s="6" t="s">
        <v>12</v>
      </c>
      <c r="D6501" s="6" t="s">
        <v>16132</v>
      </c>
      <c r="E6501" s="6" t="s">
        <v>16723</v>
      </c>
      <c r="F6501" s="6" t="s">
        <v>16750</v>
      </c>
      <c r="G6501" s="6" t="s">
        <v>16</v>
      </c>
      <c r="H6501" s="5">
        <v>3</v>
      </c>
      <c r="I6501" s="6" t="s">
        <v>16751</v>
      </c>
      <c r="J6501" s="5">
        <v>720</v>
      </c>
    </row>
    <row r="6502" s="2" customFormat="1" ht="27" spans="1:10">
      <c r="A6502" s="6">
        <f>6500</f>
        <v>6500</v>
      </c>
      <c r="B6502" s="6" t="s">
        <v>16752</v>
      </c>
      <c r="C6502" s="6" t="s">
        <v>12</v>
      </c>
      <c r="D6502" s="6" t="s">
        <v>16132</v>
      </c>
      <c r="E6502" s="6" t="s">
        <v>16723</v>
      </c>
      <c r="F6502" s="6" t="s">
        <v>16753</v>
      </c>
      <c r="G6502" s="6" t="s">
        <v>16</v>
      </c>
      <c r="H6502" s="5">
        <v>5</v>
      </c>
      <c r="I6502" s="6" t="s">
        <v>16754</v>
      </c>
      <c r="J6502" s="5">
        <v>1300</v>
      </c>
    </row>
    <row r="6503" s="2" customFormat="1" spans="1:10">
      <c r="A6503" s="6">
        <f>6501</f>
        <v>6501</v>
      </c>
      <c r="B6503" s="6" t="s">
        <v>16755</v>
      </c>
      <c r="C6503" s="6" t="s">
        <v>12</v>
      </c>
      <c r="D6503" s="6" t="s">
        <v>16132</v>
      </c>
      <c r="E6503" s="6" t="s">
        <v>16723</v>
      </c>
      <c r="F6503" s="6" t="s">
        <v>16756</v>
      </c>
      <c r="G6503" s="6" t="s">
        <v>16</v>
      </c>
      <c r="H6503" s="5">
        <v>1</v>
      </c>
      <c r="I6503" s="6" t="s">
        <v>16756</v>
      </c>
      <c r="J6503" s="5">
        <v>620</v>
      </c>
    </row>
    <row r="6504" s="2" customFormat="1" spans="1:10">
      <c r="A6504" s="6">
        <f>6502</f>
        <v>6502</v>
      </c>
      <c r="B6504" s="6" t="s">
        <v>16757</v>
      </c>
      <c r="C6504" s="6" t="s">
        <v>12</v>
      </c>
      <c r="D6504" s="6" t="s">
        <v>16132</v>
      </c>
      <c r="E6504" s="6" t="s">
        <v>16723</v>
      </c>
      <c r="F6504" s="6" t="s">
        <v>16758</v>
      </c>
      <c r="G6504" s="6" t="s">
        <v>16</v>
      </c>
      <c r="H6504" s="5">
        <v>1</v>
      </c>
      <c r="I6504" s="6" t="s">
        <v>16758</v>
      </c>
      <c r="J6504" s="5">
        <v>573</v>
      </c>
    </row>
    <row r="6505" s="2" customFormat="1" spans="1:10">
      <c r="A6505" s="6">
        <f>6503</f>
        <v>6503</v>
      </c>
      <c r="B6505" s="6" t="s">
        <v>16759</v>
      </c>
      <c r="C6505" s="6" t="s">
        <v>12</v>
      </c>
      <c r="D6505" s="6" t="s">
        <v>16132</v>
      </c>
      <c r="E6505" s="6" t="s">
        <v>16723</v>
      </c>
      <c r="F6505" s="6" t="s">
        <v>16760</v>
      </c>
      <c r="G6505" s="6" t="s">
        <v>16</v>
      </c>
      <c r="H6505" s="5">
        <v>3</v>
      </c>
      <c r="I6505" s="6" t="s">
        <v>16761</v>
      </c>
      <c r="J6505" s="5">
        <v>920</v>
      </c>
    </row>
    <row r="6506" s="2" customFormat="1" spans="1:10">
      <c r="A6506" s="6">
        <f>6504</f>
        <v>6504</v>
      </c>
      <c r="B6506" s="6" t="s">
        <v>16762</v>
      </c>
      <c r="C6506" s="6" t="s">
        <v>12</v>
      </c>
      <c r="D6506" s="6" t="s">
        <v>16132</v>
      </c>
      <c r="E6506" s="6" t="s">
        <v>16723</v>
      </c>
      <c r="F6506" s="6" t="s">
        <v>16763</v>
      </c>
      <c r="G6506" s="6" t="s">
        <v>16</v>
      </c>
      <c r="H6506" s="5">
        <v>1</v>
      </c>
      <c r="I6506" s="6" t="s">
        <v>16763</v>
      </c>
      <c r="J6506" s="5">
        <v>540</v>
      </c>
    </row>
    <row r="6507" s="2" customFormat="1" ht="27" spans="1:10">
      <c r="A6507" s="6">
        <f>6505</f>
        <v>6505</v>
      </c>
      <c r="B6507" s="6" t="s">
        <v>16764</v>
      </c>
      <c r="C6507" s="6" t="s">
        <v>12</v>
      </c>
      <c r="D6507" s="6" t="s">
        <v>16132</v>
      </c>
      <c r="E6507" s="6" t="s">
        <v>16723</v>
      </c>
      <c r="F6507" s="6" t="s">
        <v>16765</v>
      </c>
      <c r="G6507" s="6" t="s">
        <v>16</v>
      </c>
      <c r="H6507" s="5">
        <v>5</v>
      </c>
      <c r="I6507" s="6" t="s">
        <v>16766</v>
      </c>
      <c r="J6507" s="5">
        <v>1200</v>
      </c>
    </row>
    <row r="6508" s="2" customFormat="1" spans="1:10">
      <c r="A6508" s="6">
        <f>6506</f>
        <v>6506</v>
      </c>
      <c r="B6508" s="6" t="s">
        <v>16767</v>
      </c>
      <c r="C6508" s="6" t="s">
        <v>12</v>
      </c>
      <c r="D6508" s="6" t="s">
        <v>16132</v>
      </c>
      <c r="E6508" s="6" t="s">
        <v>16723</v>
      </c>
      <c r="F6508" s="6" t="s">
        <v>16768</v>
      </c>
      <c r="G6508" s="6" t="s">
        <v>16</v>
      </c>
      <c r="H6508" s="5">
        <v>2</v>
      </c>
      <c r="I6508" s="6" t="s">
        <v>16769</v>
      </c>
      <c r="J6508" s="5">
        <v>1080</v>
      </c>
    </row>
    <row r="6509" s="2" customFormat="1" spans="1:10">
      <c r="A6509" s="6">
        <f>6507</f>
        <v>6507</v>
      </c>
      <c r="B6509" s="6" t="s">
        <v>16770</v>
      </c>
      <c r="C6509" s="6" t="s">
        <v>12</v>
      </c>
      <c r="D6509" s="6" t="s">
        <v>16132</v>
      </c>
      <c r="E6509" s="6" t="s">
        <v>16723</v>
      </c>
      <c r="F6509" s="6" t="s">
        <v>16771</v>
      </c>
      <c r="G6509" s="6" t="s">
        <v>16</v>
      </c>
      <c r="H6509" s="5">
        <v>2</v>
      </c>
      <c r="I6509" s="6" t="s">
        <v>16772</v>
      </c>
      <c r="J6509" s="5">
        <v>800</v>
      </c>
    </row>
    <row r="6510" s="2" customFormat="1" ht="27" spans="1:10">
      <c r="A6510" s="6">
        <f>6508</f>
        <v>6508</v>
      </c>
      <c r="B6510" s="6" t="s">
        <v>16773</v>
      </c>
      <c r="C6510" s="6" t="s">
        <v>12</v>
      </c>
      <c r="D6510" s="6" t="s">
        <v>16132</v>
      </c>
      <c r="E6510" s="6" t="s">
        <v>16723</v>
      </c>
      <c r="F6510" s="6" t="s">
        <v>16774</v>
      </c>
      <c r="G6510" s="6" t="s">
        <v>16</v>
      </c>
      <c r="H6510" s="5">
        <v>4</v>
      </c>
      <c r="I6510" s="6" t="s">
        <v>16775</v>
      </c>
      <c r="J6510" s="5">
        <v>440</v>
      </c>
    </row>
    <row r="6511" s="2" customFormat="1" spans="1:10">
      <c r="A6511" s="6">
        <f>6509</f>
        <v>6509</v>
      </c>
      <c r="B6511" s="6" t="s">
        <v>16776</v>
      </c>
      <c r="C6511" s="6" t="s">
        <v>12</v>
      </c>
      <c r="D6511" s="6" t="s">
        <v>16132</v>
      </c>
      <c r="E6511" s="6" t="s">
        <v>16723</v>
      </c>
      <c r="F6511" s="6" t="s">
        <v>16777</v>
      </c>
      <c r="G6511" s="6" t="s">
        <v>16</v>
      </c>
      <c r="H6511" s="5">
        <v>3</v>
      </c>
      <c r="I6511" s="6" t="s">
        <v>16778</v>
      </c>
      <c r="J6511" s="5">
        <v>780</v>
      </c>
    </row>
    <row r="6512" s="2" customFormat="1" spans="1:10">
      <c r="A6512" s="6">
        <f>6510</f>
        <v>6510</v>
      </c>
      <c r="B6512" s="6" t="s">
        <v>16779</v>
      </c>
      <c r="C6512" s="6" t="s">
        <v>12</v>
      </c>
      <c r="D6512" s="6" t="s">
        <v>16132</v>
      </c>
      <c r="E6512" s="6" t="s">
        <v>16723</v>
      </c>
      <c r="F6512" s="6" t="s">
        <v>16780</v>
      </c>
      <c r="G6512" s="6" t="s">
        <v>16</v>
      </c>
      <c r="H6512" s="5">
        <v>2</v>
      </c>
      <c r="I6512" s="6" t="s">
        <v>16781</v>
      </c>
      <c r="J6512" s="5">
        <v>720</v>
      </c>
    </row>
    <row r="6513" s="2" customFormat="1" spans="1:10">
      <c r="A6513" s="6">
        <f>6511</f>
        <v>6511</v>
      </c>
      <c r="B6513" s="6" t="s">
        <v>16782</v>
      </c>
      <c r="C6513" s="6" t="s">
        <v>12</v>
      </c>
      <c r="D6513" s="6" t="s">
        <v>16132</v>
      </c>
      <c r="E6513" s="6" t="s">
        <v>16723</v>
      </c>
      <c r="F6513" s="6" t="s">
        <v>16783</v>
      </c>
      <c r="G6513" s="6" t="s">
        <v>16</v>
      </c>
      <c r="H6513" s="5">
        <v>1</v>
      </c>
      <c r="I6513" s="6" t="s">
        <v>16783</v>
      </c>
      <c r="J6513" s="5">
        <v>360</v>
      </c>
    </row>
    <row r="6514" s="2" customFormat="1" spans="1:10">
      <c r="A6514" s="6">
        <f>6512</f>
        <v>6512</v>
      </c>
      <c r="B6514" s="6" t="s">
        <v>16784</v>
      </c>
      <c r="C6514" s="6" t="s">
        <v>12</v>
      </c>
      <c r="D6514" s="6" t="s">
        <v>16132</v>
      </c>
      <c r="E6514" s="6" t="s">
        <v>16723</v>
      </c>
      <c r="F6514" s="6" t="s">
        <v>16785</v>
      </c>
      <c r="G6514" s="6" t="s">
        <v>16</v>
      </c>
      <c r="H6514" s="5">
        <v>1</v>
      </c>
      <c r="I6514" s="6" t="s">
        <v>16785</v>
      </c>
      <c r="J6514" s="5">
        <v>260</v>
      </c>
    </row>
    <row r="6515" s="2" customFormat="1" spans="1:10">
      <c r="A6515" s="6">
        <f>6513</f>
        <v>6513</v>
      </c>
      <c r="B6515" s="6" t="s">
        <v>16786</v>
      </c>
      <c r="C6515" s="6" t="s">
        <v>12</v>
      </c>
      <c r="D6515" s="6" t="s">
        <v>16132</v>
      </c>
      <c r="E6515" s="6" t="s">
        <v>16723</v>
      </c>
      <c r="F6515" s="6" t="s">
        <v>16787</v>
      </c>
      <c r="G6515" s="6" t="s">
        <v>16</v>
      </c>
      <c r="H6515" s="5">
        <v>3</v>
      </c>
      <c r="I6515" s="6" t="s">
        <v>16788</v>
      </c>
      <c r="J6515" s="5">
        <v>780</v>
      </c>
    </row>
    <row r="6516" s="2" customFormat="1" spans="1:10">
      <c r="A6516" s="6">
        <f>6514</f>
        <v>6514</v>
      </c>
      <c r="B6516" s="6" t="s">
        <v>16789</v>
      </c>
      <c r="C6516" s="6" t="s">
        <v>12</v>
      </c>
      <c r="D6516" s="6" t="s">
        <v>16132</v>
      </c>
      <c r="E6516" s="6" t="s">
        <v>16723</v>
      </c>
      <c r="F6516" s="6" t="s">
        <v>16790</v>
      </c>
      <c r="G6516" s="6" t="s">
        <v>16</v>
      </c>
      <c r="H6516" s="5">
        <v>1</v>
      </c>
      <c r="I6516" s="6" t="s">
        <v>16790</v>
      </c>
      <c r="J6516" s="5">
        <v>573</v>
      </c>
    </row>
    <row r="6517" s="2" customFormat="1" ht="40.5" spans="1:10">
      <c r="A6517" s="6">
        <f>6515</f>
        <v>6515</v>
      </c>
      <c r="B6517" s="6" t="s">
        <v>16791</v>
      </c>
      <c r="C6517" s="6" t="s">
        <v>12</v>
      </c>
      <c r="D6517" s="6" t="s">
        <v>16132</v>
      </c>
      <c r="E6517" s="6" t="s">
        <v>16723</v>
      </c>
      <c r="F6517" s="6" t="s">
        <v>16792</v>
      </c>
      <c r="G6517" s="6" t="s">
        <v>16</v>
      </c>
      <c r="H6517" s="5">
        <v>8</v>
      </c>
      <c r="I6517" s="6" t="s">
        <v>16793</v>
      </c>
      <c r="J6517" s="5">
        <v>988</v>
      </c>
    </row>
    <row r="6518" s="2" customFormat="1" ht="27" spans="1:10">
      <c r="A6518" s="6">
        <f>6516</f>
        <v>6516</v>
      </c>
      <c r="B6518" s="6" t="s">
        <v>16794</v>
      </c>
      <c r="C6518" s="6" t="s">
        <v>12</v>
      </c>
      <c r="D6518" s="6" t="s">
        <v>16132</v>
      </c>
      <c r="E6518" s="6" t="s">
        <v>16723</v>
      </c>
      <c r="F6518" s="6" t="s">
        <v>16795</v>
      </c>
      <c r="G6518" s="6" t="s">
        <v>16</v>
      </c>
      <c r="H6518" s="5">
        <v>5</v>
      </c>
      <c r="I6518" s="6" t="s">
        <v>16796</v>
      </c>
      <c r="J6518" s="5">
        <v>530</v>
      </c>
    </row>
    <row r="6519" s="2" customFormat="1" ht="27" spans="1:10">
      <c r="A6519" s="6">
        <f>6517</f>
        <v>6517</v>
      </c>
      <c r="B6519" s="6" t="s">
        <v>16797</v>
      </c>
      <c r="C6519" s="6" t="s">
        <v>12</v>
      </c>
      <c r="D6519" s="6" t="s">
        <v>16132</v>
      </c>
      <c r="E6519" s="6" t="s">
        <v>16723</v>
      </c>
      <c r="F6519" s="6" t="s">
        <v>16798</v>
      </c>
      <c r="G6519" s="6" t="s">
        <v>16</v>
      </c>
      <c r="H6519" s="5">
        <v>6</v>
      </c>
      <c r="I6519" s="6" t="s">
        <v>16799</v>
      </c>
      <c r="J6519" s="5">
        <v>1580</v>
      </c>
    </row>
    <row r="6520" s="2" customFormat="1" spans="1:10">
      <c r="A6520" s="6">
        <f>6518</f>
        <v>6518</v>
      </c>
      <c r="B6520" s="6" t="s">
        <v>16800</v>
      </c>
      <c r="C6520" s="6" t="s">
        <v>12</v>
      </c>
      <c r="D6520" s="6" t="s">
        <v>16132</v>
      </c>
      <c r="E6520" s="6" t="s">
        <v>16723</v>
      </c>
      <c r="F6520" s="6" t="s">
        <v>16801</v>
      </c>
      <c r="G6520" s="6" t="s">
        <v>16</v>
      </c>
      <c r="H6520" s="5">
        <v>2</v>
      </c>
      <c r="I6520" s="6" t="s">
        <v>16802</v>
      </c>
      <c r="J6520" s="5">
        <v>490</v>
      </c>
    </row>
    <row r="6521" s="2" customFormat="1" spans="1:10">
      <c r="A6521" s="6">
        <f>6519</f>
        <v>6519</v>
      </c>
      <c r="B6521" s="6" t="s">
        <v>16803</v>
      </c>
      <c r="C6521" s="6" t="s">
        <v>12</v>
      </c>
      <c r="D6521" s="6" t="s">
        <v>16132</v>
      </c>
      <c r="E6521" s="6" t="s">
        <v>16723</v>
      </c>
      <c r="F6521" s="6" t="s">
        <v>16804</v>
      </c>
      <c r="G6521" s="6" t="s">
        <v>16</v>
      </c>
      <c r="H6521" s="5">
        <v>1</v>
      </c>
      <c r="I6521" s="6" t="s">
        <v>16804</v>
      </c>
      <c r="J6521" s="5">
        <v>290</v>
      </c>
    </row>
    <row r="6522" s="2" customFormat="1" spans="1:10">
      <c r="A6522" s="6">
        <f>6520</f>
        <v>6520</v>
      </c>
      <c r="B6522" s="6" t="s">
        <v>16805</v>
      </c>
      <c r="C6522" s="6" t="s">
        <v>12</v>
      </c>
      <c r="D6522" s="6" t="s">
        <v>16132</v>
      </c>
      <c r="E6522" s="6" t="s">
        <v>16723</v>
      </c>
      <c r="F6522" s="6" t="s">
        <v>16806</v>
      </c>
      <c r="G6522" s="6" t="s">
        <v>16</v>
      </c>
      <c r="H6522" s="5">
        <v>1</v>
      </c>
      <c r="I6522" s="6" t="s">
        <v>16806</v>
      </c>
      <c r="J6522" s="5">
        <v>620</v>
      </c>
    </row>
    <row r="6523" s="2" customFormat="1" spans="1:10">
      <c r="A6523" s="6">
        <f>6521</f>
        <v>6521</v>
      </c>
      <c r="B6523" s="6" t="s">
        <v>16807</v>
      </c>
      <c r="C6523" s="6" t="s">
        <v>12</v>
      </c>
      <c r="D6523" s="6" t="s">
        <v>16132</v>
      </c>
      <c r="E6523" s="6" t="s">
        <v>16723</v>
      </c>
      <c r="F6523" s="6" t="s">
        <v>16808</v>
      </c>
      <c r="G6523" s="6" t="s">
        <v>16</v>
      </c>
      <c r="H6523" s="5">
        <v>2</v>
      </c>
      <c r="I6523" s="6" t="s">
        <v>16809</v>
      </c>
      <c r="J6523" s="5">
        <v>1080</v>
      </c>
    </row>
    <row r="6524" s="2" customFormat="1" spans="1:10">
      <c r="A6524" s="6">
        <f>6522</f>
        <v>6522</v>
      </c>
      <c r="B6524" s="6" t="s">
        <v>16810</v>
      </c>
      <c r="C6524" s="6" t="s">
        <v>12</v>
      </c>
      <c r="D6524" s="6" t="s">
        <v>16132</v>
      </c>
      <c r="E6524" s="6" t="s">
        <v>16723</v>
      </c>
      <c r="F6524" s="6" t="s">
        <v>16811</v>
      </c>
      <c r="G6524" s="6" t="s">
        <v>16</v>
      </c>
      <c r="H6524" s="5">
        <v>2</v>
      </c>
      <c r="I6524" s="6" t="s">
        <v>16812</v>
      </c>
      <c r="J6524" s="5">
        <v>520</v>
      </c>
    </row>
    <row r="6525" s="2" customFormat="1" ht="27" spans="1:10">
      <c r="A6525" s="6">
        <f>6523</f>
        <v>6523</v>
      </c>
      <c r="B6525" s="6" t="s">
        <v>16813</v>
      </c>
      <c r="C6525" s="6" t="s">
        <v>12</v>
      </c>
      <c r="D6525" s="6" t="s">
        <v>16132</v>
      </c>
      <c r="E6525" s="6" t="s">
        <v>16723</v>
      </c>
      <c r="F6525" s="6" t="s">
        <v>16814</v>
      </c>
      <c r="G6525" s="6" t="s">
        <v>16</v>
      </c>
      <c r="H6525" s="5">
        <v>4</v>
      </c>
      <c r="I6525" s="6" t="s">
        <v>16815</v>
      </c>
      <c r="J6525" s="5">
        <v>440</v>
      </c>
    </row>
    <row r="6526" s="2" customFormat="1" spans="1:10">
      <c r="A6526" s="6">
        <f>6524</f>
        <v>6524</v>
      </c>
      <c r="B6526" s="6" t="s">
        <v>16816</v>
      </c>
      <c r="C6526" s="6" t="s">
        <v>12</v>
      </c>
      <c r="D6526" s="6" t="s">
        <v>16132</v>
      </c>
      <c r="E6526" s="6" t="s">
        <v>16723</v>
      </c>
      <c r="F6526" s="6" t="s">
        <v>16817</v>
      </c>
      <c r="G6526" s="6" t="s">
        <v>16</v>
      </c>
      <c r="H6526" s="5">
        <v>2</v>
      </c>
      <c r="I6526" s="6" t="s">
        <v>16818</v>
      </c>
      <c r="J6526" s="5">
        <v>474</v>
      </c>
    </row>
    <row r="6527" s="2" customFormat="1" spans="1:10">
      <c r="A6527" s="6">
        <f>6525</f>
        <v>6525</v>
      </c>
      <c r="B6527" s="6" t="s">
        <v>16819</v>
      </c>
      <c r="C6527" s="6" t="s">
        <v>12</v>
      </c>
      <c r="D6527" s="6" t="s">
        <v>16132</v>
      </c>
      <c r="E6527" s="6" t="s">
        <v>16723</v>
      </c>
      <c r="F6527" s="6" t="s">
        <v>16820</v>
      </c>
      <c r="G6527" s="6" t="s">
        <v>16</v>
      </c>
      <c r="H6527" s="5">
        <v>1</v>
      </c>
      <c r="I6527" s="6" t="s">
        <v>16820</v>
      </c>
      <c r="J6527" s="5">
        <v>540</v>
      </c>
    </row>
    <row r="6528" s="2" customFormat="1" spans="1:10">
      <c r="A6528" s="6">
        <f>6526</f>
        <v>6526</v>
      </c>
      <c r="B6528" s="6" t="s">
        <v>16821</v>
      </c>
      <c r="C6528" s="6" t="s">
        <v>12</v>
      </c>
      <c r="D6528" s="6" t="s">
        <v>16132</v>
      </c>
      <c r="E6528" s="6" t="s">
        <v>16723</v>
      </c>
      <c r="F6528" s="6" t="s">
        <v>16822</v>
      </c>
      <c r="G6528" s="6" t="s">
        <v>16</v>
      </c>
      <c r="H6528" s="5">
        <v>2</v>
      </c>
      <c r="I6528" s="6" t="s">
        <v>16823</v>
      </c>
      <c r="J6528" s="5">
        <v>598</v>
      </c>
    </row>
    <row r="6529" s="2" customFormat="1" spans="1:10">
      <c r="A6529" s="6">
        <f>6527</f>
        <v>6527</v>
      </c>
      <c r="B6529" s="6" t="s">
        <v>16824</v>
      </c>
      <c r="C6529" s="6" t="s">
        <v>12</v>
      </c>
      <c r="D6529" s="6" t="s">
        <v>16132</v>
      </c>
      <c r="E6529" s="6" t="s">
        <v>16723</v>
      </c>
      <c r="F6529" s="6" t="s">
        <v>16825</v>
      </c>
      <c r="G6529" s="6" t="s">
        <v>16</v>
      </c>
      <c r="H6529" s="5">
        <v>3</v>
      </c>
      <c r="I6529" s="6" t="s">
        <v>16826</v>
      </c>
      <c r="J6529" s="5">
        <v>1700</v>
      </c>
    </row>
    <row r="6530" s="2" customFormat="1" ht="27" spans="1:10">
      <c r="A6530" s="6">
        <f>6528</f>
        <v>6528</v>
      </c>
      <c r="B6530" s="6" t="s">
        <v>16827</v>
      </c>
      <c r="C6530" s="6" t="s">
        <v>12</v>
      </c>
      <c r="D6530" s="6" t="s">
        <v>16132</v>
      </c>
      <c r="E6530" s="6" t="s">
        <v>16723</v>
      </c>
      <c r="F6530" s="6" t="s">
        <v>16828</v>
      </c>
      <c r="G6530" s="6" t="s">
        <v>16</v>
      </c>
      <c r="H6530" s="5">
        <v>5</v>
      </c>
      <c r="I6530" s="6" t="s">
        <v>16829</v>
      </c>
      <c r="J6530" s="5">
        <v>860</v>
      </c>
    </row>
    <row r="6531" s="2" customFormat="1" ht="27" spans="1:10">
      <c r="A6531" s="6">
        <f>6529</f>
        <v>6529</v>
      </c>
      <c r="B6531" s="6" t="s">
        <v>16830</v>
      </c>
      <c r="C6531" s="6" t="s">
        <v>12</v>
      </c>
      <c r="D6531" s="6" t="s">
        <v>16132</v>
      </c>
      <c r="E6531" s="6" t="s">
        <v>16723</v>
      </c>
      <c r="F6531" s="6" t="s">
        <v>16831</v>
      </c>
      <c r="G6531" s="6" t="s">
        <v>16</v>
      </c>
      <c r="H6531" s="5">
        <v>4</v>
      </c>
      <c r="I6531" s="6" t="s">
        <v>16832</v>
      </c>
      <c r="J6531" s="5">
        <v>440</v>
      </c>
    </row>
    <row r="6532" s="2" customFormat="1" spans="1:10">
      <c r="A6532" s="6">
        <f>6530</f>
        <v>6530</v>
      </c>
      <c r="B6532" s="6" t="s">
        <v>16833</v>
      </c>
      <c r="C6532" s="6" t="s">
        <v>12</v>
      </c>
      <c r="D6532" s="6" t="s">
        <v>16132</v>
      </c>
      <c r="E6532" s="6" t="s">
        <v>16723</v>
      </c>
      <c r="F6532" s="6" t="s">
        <v>16834</v>
      </c>
      <c r="G6532" s="6" t="s">
        <v>16</v>
      </c>
      <c r="H6532" s="5">
        <v>1</v>
      </c>
      <c r="I6532" s="6" t="s">
        <v>16834</v>
      </c>
      <c r="J6532" s="5">
        <v>310</v>
      </c>
    </row>
    <row r="6533" s="2" customFormat="1" ht="27" spans="1:10">
      <c r="A6533" s="6">
        <f>6531</f>
        <v>6531</v>
      </c>
      <c r="B6533" s="6" t="s">
        <v>16835</v>
      </c>
      <c r="C6533" s="6" t="s">
        <v>12</v>
      </c>
      <c r="D6533" s="6" t="s">
        <v>16132</v>
      </c>
      <c r="E6533" s="6" t="s">
        <v>16723</v>
      </c>
      <c r="F6533" s="6" t="s">
        <v>16836</v>
      </c>
      <c r="G6533" s="6" t="s">
        <v>16</v>
      </c>
      <c r="H6533" s="5">
        <v>4</v>
      </c>
      <c r="I6533" s="6" t="s">
        <v>16837</v>
      </c>
      <c r="J6533" s="5">
        <v>740</v>
      </c>
    </row>
    <row r="6534" s="2" customFormat="1" spans="1:10">
      <c r="A6534" s="6">
        <f>6532</f>
        <v>6532</v>
      </c>
      <c r="B6534" s="6" t="s">
        <v>16838</v>
      </c>
      <c r="C6534" s="6" t="s">
        <v>12</v>
      </c>
      <c r="D6534" s="6" t="s">
        <v>16132</v>
      </c>
      <c r="E6534" s="6" t="s">
        <v>16723</v>
      </c>
      <c r="F6534" s="6" t="s">
        <v>16839</v>
      </c>
      <c r="G6534" s="6" t="s">
        <v>16</v>
      </c>
      <c r="H6534" s="5">
        <v>3</v>
      </c>
      <c r="I6534" s="6" t="s">
        <v>16840</v>
      </c>
      <c r="J6534" s="5">
        <v>500</v>
      </c>
    </row>
    <row r="6535" s="2" customFormat="1" spans="1:10">
      <c r="A6535" s="6">
        <f>6533</f>
        <v>6533</v>
      </c>
      <c r="B6535" s="6" t="s">
        <v>16841</v>
      </c>
      <c r="C6535" s="6" t="s">
        <v>12</v>
      </c>
      <c r="D6535" s="6" t="s">
        <v>16132</v>
      </c>
      <c r="E6535" s="6" t="s">
        <v>16723</v>
      </c>
      <c r="F6535" s="6" t="s">
        <v>16842</v>
      </c>
      <c r="G6535" s="6" t="s">
        <v>16</v>
      </c>
      <c r="H6535" s="5">
        <v>2</v>
      </c>
      <c r="I6535" s="6" t="s">
        <v>16843</v>
      </c>
      <c r="J6535" s="5">
        <v>340</v>
      </c>
    </row>
    <row r="6536" s="2" customFormat="1" spans="1:10">
      <c r="A6536" s="6">
        <f>6534</f>
        <v>6534</v>
      </c>
      <c r="B6536" s="6" t="s">
        <v>16844</v>
      </c>
      <c r="C6536" s="6" t="s">
        <v>12</v>
      </c>
      <c r="D6536" s="6" t="s">
        <v>16132</v>
      </c>
      <c r="E6536" s="6" t="s">
        <v>16723</v>
      </c>
      <c r="F6536" s="6" t="s">
        <v>16845</v>
      </c>
      <c r="G6536" s="6" t="s">
        <v>16</v>
      </c>
      <c r="H6536" s="5">
        <v>2</v>
      </c>
      <c r="I6536" s="6" t="s">
        <v>16846</v>
      </c>
      <c r="J6536" s="5">
        <v>561</v>
      </c>
    </row>
    <row r="6537" s="2" customFormat="1" ht="40.5" spans="1:10">
      <c r="A6537" s="6">
        <f>6535</f>
        <v>6535</v>
      </c>
      <c r="B6537" s="6" t="s">
        <v>16847</v>
      </c>
      <c r="C6537" s="6" t="s">
        <v>12</v>
      </c>
      <c r="D6537" s="6" t="s">
        <v>16132</v>
      </c>
      <c r="E6537" s="6" t="s">
        <v>16723</v>
      </c>
      <c r="F6537" s="6" t="s">
        <v>16848</v>
      </c>
      <c r="G6537" s="6" t="s">
        <v>16</v>
      </c>
      <c r="H6537" s="5">
        <v>9</v>
      </c>
      <c r="I6537" s="6" t="s">
        <v>16849</v>
      </c>
      <c r="J6537" s="5">
        <v>2560</v>
      </c>
    </row>
    <row r="6538" s="2" customFormat="1" spans="1:10">
      <c r="A6538" s="6">
        <f>6536</f>
        <v>6536</v>
      </c>
      <c r="B6538" s="6" t="s">
        <v>16850</v>
      </c>
      <c r="C6538" s="6" t="s">
        <v>12</v>
      </c>
      <c r="D6538" s="6" t="s">
        <v>16132</v>
      </c>
      <c r="E6538" s="6" t="s">
        <v>16723</v>
      </c>
      <c r="F6538" s="6" t="s">
        <v>16851</v>
      </c>
      <c r="G6538" s="6" t="s">
        <v>16</v>
      </c>
      <c r="H6538" s="5">
        <v>1</v>
      </c>
      <c r="I6538" s="6" t="s">
        <v>16851</v>
      </c>
      <c r="J6538" s="5">
        <v>260</v>
      </c>
    </row>
    <row r="6539" s="2" customFormat="1" spans="1:10">
      <c r="A6539" s="6">
        <f>6537</f>
        <v>6537</v>
      </c>
      <c r="B6539" s="6" t="s">
        <v>16852</v>
      </c>
      <c r="C6539" s="6" t="s">
        <v>12</v>
      </c>
      <c r="D6539" s="6" t="s">
        <v>16132</v>
      </c>
      <c r="E6539" s="6" t="s">
        <v>16723</v>
      </c>
      <c r="F6539" s="6" t="s">
        <v>16853</v>
      </c>
      <c r="G6539" s="6" t="s">
        <v>16</v>
      </c>
      <c r="H6539" s="5">
        <v>3</v>
      </c>
      <c r="I6539" s="6" t="s">
        <v>16854</v>
      </c>
      <c r="J6539" s="5">
        <v>720</v>
      </c>
    </row>
    <row r="6540" s="2" customFormat="1" spans="1:10">
      <c r="A6540" s="6">
        <f>6538</f>
        <v>6538</v>
      </c>
      <c r="B6540" s="6" t="s">
        <v>16855</v>
      </c>
      <c r="C6540" s="6" t="s">
        <v>12</v>
      </c>
      <c r="D6540" s="6" t="s">
        <v>16132</v>
      </c>
      <c r="E6540" s="6" t="s">
        <v>16723</v>
      </c>
      <c r="F6540" s="6" t="s">
        <v>16856</v>
      </c>
      <c r="G6540" s="6" t="s">
        <v>16</v>
      </c>
      <c r="H6540" s="5">
        <v>2</v>
      </c>
      <c r="I6540" s="6" t="s">
        <v>16857</v>
      </c>
      <c r="J6540" s="5">
        <v>600</v>
      </c>
    </row>
    <row r="6541" s="2" customFormat="1" spans="1:10">
      <c r="A6541" s="6">
        <f>6539</f>
        <v>6539</v>
      </c>
      <c r="B6541" s="6" t="s">
        <v>16858</v>
      </c>
      <c r="C6541" s="6" t="s">
        <v>12</v>
      </c>
      <c r="D6541" s="6" t="s">
        <v>16132</v>
      </c>
      <c r="E6541" s="6" t="s">
        <v>16723</v>
      </c>
      <c r="F6541" s="6" t="s">
        <v>16859</v>
      </c>
      <c r="G6541" s="6" t="s">
        <v>16</v>
      </c>
      <c r="H6541" s="5">
        <v>3</v>
      </c>
      <c r="I6541" s="6" t="s">
        <v>16860</v>
      </c>
      <c r="J6541" s="5">
        <v>1860</v>
      </c>
    </row>
    <row r="6542" s="2" customFormat="1" spans="1:10">
      <c r="A6542" s="6">
        <f>6540</f>
        <v>6540</v>
      </c>
      <c r="B6542" s="6" t="s">
        <v>16861</v>
      </c>
      <c r="C6542" s="6" t="s">
        <v>12</v>
      </c>
      <c r="D6542" s="6" t="s">
        <v>16132</v>
      </c>
      <c r="E6542" s="6" t="s">
        <v>16723</v>
      </c>
      <c r="F6542" s="6" t="s">
        <v>16862</v>
      </c>
      <c r="G6542" s="6" t="s">
        <v>16</v>
      </c>
      <c r="H6542" s="5">
        <v>3</v>
      </c>
      <c r="I6542" s="6" t="s">
        <v>16863</v>
      </c>
      <c r="J6542" s="5">
        <v>380</v>
      </c>
    </row>
    <row r="6543" s="2" customFormat="1" spans="1:10">
      <c r="A6543" s="6">
        <f>6541</f>
        <v>6541</v>
      </c>
      <c r="B6543" s="6" t="s">
        <v>16864</v>
      </c>
      <c r="C6543" s="6" t="s">
        <v>12</v>
      </c>
      <c r="D6543" s="6" t="s">
        <v>16132</v>
      </c>
      <c r="E6543" s="6" t="s">
        <v>16723</v>
      </c>
      <c r="F6543" s="6" t="s">
        <v>16865</v>
      </c>
      <c r="G6543" s="6" t="s">
        <v>16</v>
      </c>
      <c r="H6543" s="5">
        <v>3</v>
      </c>
      <c r="I6543" s="6" t="s">
        <v>16866</v>
      </c>
      <c r="J6543" s="5">
        <v>780</v>
      </c>
    </row>
    <row r="6544" s="2" customFormat="1" spans="1:10">
      <c r="A6544" s="6">
        <f>6542</f>
        <v>6542</v>
      </c>
      <c r="B6544" s="6" t="s">
        <v>16867</v>
      </c>
      <c r="C6544" s="6" t="s">
        <v>12</v>
      </c>
      <c r="D6544" s="6" t="s">
        <v>16132</v>
      </c>
      <c r="E6544" s="6" t="s">
        <v>16723</v>
      </c>
      <c r="F6544" s="6" t="s">
        <v>16868</v>
      </c>
      <c r="G6544" s="6" t="s">
        <v>16</v>
      </c>
      <c r="H6544" s="5">
        <v>2</v>
      </c>
      <c r="I6544" s="6" t="s">
        <v>16869</v>
      </c>
      <c r="J6544" s="5">
        <v>420</v>
      </c>
    </row>
    <row r="6545" s="2" customFormat="1" ht="27" spans="1:10">
      <c r="A6545" s="6">
        <f>6543</f>
        <v>6543</v>
      </c>
      <c r="B6545" s="6" t="s">
        <v>16870</v>
      </c>
      <c r="C6545" s="6" t="s">
        <v>12</v>
      </c>
      <c r="D6545" s="6" t="s">
        <v>16132</v>
      </c>
      <c r="E6545" s="6" t="s">
        <v>16723</v>
      </c>
      <c r="F6545" s="6" t="s">
        <v>16871</v>
      </c>
      <c r="G6545" s="6" t="s">
        <v>16</v>
      </c>
      <c r="H6545" s="5">
        <v>6</v>
      </c>
      <c r="I6545" s="6" t="s">
        <v>16872</v>
      </c>
      <c r="J6545" s="5">
        <v>860</v>
      </c>
    </row>
    <row r="6546" s="2" customFormat="1" spans="1:10">
      <c r="A6546" s="6">
        <f>6544</f>
        <v>6544</v>
      </c>
      <c r="B6546" s="6" t="s">
        <v>16873</v>
      </c>
      <c r="C6546" s="6" t="s">
        <v>12</v>
      </c>
      <c r="D6546" s="6" t="s">
        <v>16132</v>
      </c>
      <c r="E6546" s="6" t="s">
        <v>16723</v>
      </c>
      <c r="F6546" s="6" t="s">
        <v>16874</v>
      </c>
      <c r="G6546" s="6" t="s">
        <v>16</v>
      </c>
      <c r="H6546" s="5">
        <v>3</v>
      </c>
      <c r="I6546" s="6" t="s">
        <v>16875</v>
      </c>
      <c r="J6546" s="5">
        <v>380</v>
      </c>
    </row>
    <row r="6547" s="2" customFormat="1" spans="1:10">
      <c r="A6547" s="6">
        <f>6545</f>
        <v>6545</v>
      </c>
      <c r="B6547" s="6" t="s">
        <v>16876</v>
      </c>
      <c r="C6547" s="6" t="s">
        <v>12</v>
      </c>
      <c r="D6547" s="6" t="s">
        <v>16132</v>
      </c>
      <c r="E6547" s="6" t="s">
        <v>16723</v>
      </c>
      <c r="F6547" s="6" t="s">
        <v>16877</v>
      </c>
      <c r="G6547" s="6" t="s">
        <v>16</v>
      </c>
      <c r="H6547" s="5">
        <v>2</v>
      </c>
      <c r="I6547" s="6" t="s">
        <v>16878</v>
      </c>
      <c r="J6547" s="5">
        <v>920</v>
      </c>
    </row>
    <row r="6548" s="2" customFormat="1" spans="1:10">
      <c r="A6548" s="6">
        <f>6546</f>
        <v>6546</v>
      </c>
      <c r="B6548" s="6" t="s">
        <v>16879</v>
      </c>
      <c r="C6548" s="6" t="s">
        <v>12</v>
      </c>
      <c r="D6548" s="6" t="s">
        <v>16132</v>
      </c>
      <c r="E6548" s="6" t="s">
        <v>16723</v>
      </c>
      <c r="F6548" s="6" t="s">
        <v>16880</v>
      </c>
      <c r="G6548" s="6" t="s">
        <v>16</v>
      </c>
      <c r="H6548" s="5">
        <v>3</v>
      </c>
      <c r="I6548" s="6" t="s">
        <v>16881</v>
      </c>
      <c r="J6548" s="5">
        <v>1200</v>
      </c>
    </row>
    <row r="6549" s="2" customFormat="1" spans="1:10">
      <c r="A6549" s="6">
        <f>6547</f>
        <v>6547</v>
      </c>
      <c r="B6549" s="6" t="s">
        <v>16882</v>
      </c>
      <c r="C6549" s="6" t="s">
        <v>12</v>
      </c>
      <c r="D6549" s="6" t="s">
        <v>16132</v>
      </c>
      <c r="E6549" s="6" t="s">
        <v>16723</v>
      </c>
      <c r="F6549" s="6" t="s">
        <v>16883</v>
      </c>
      <c r="G6549" s="6" t="s">
        <v>16</v>
      </c>
      <c r="H6549" s="5">
        <v>1</v>
      </c>
      <c r="I6549" s="6" t="s">
        <v>16883</v>
      </c>
      <c r="J6549" s="5">
        <v>300</v>
      </c>
    </row>
    <row r="6550" s="2" customFormat="1" spans="1:10">
      <c r="A6550" s="6">
        <f>6548</f>
        <v>6548</v>
      </c>
      <c r="B6550" s="6" t="s">
        <v>16884</v>
      </c>
      <c r="C6550" s="6" t="s">
        <v>12</v>
      </c>
      <c r="D6550" s="6" t="s">
        <v>16132</v>
      </c>
      <c r="E6550" s="6" t="s">
        <v>16885</v>
      </c>
      <c r="F6550" s="6" t="s">
        <v>16886</v>
      </c>
      <c r="G6550" s="6" t="s">
        <v>16</v>
      </c>
      <c r="H6550" s="5">
        <v>2</v>
      </c>
      <c r="I6550" s="6" t="s">
        <v>16887</v>
      </c>
      <c r="J6550" s="5">
        <v>860</v>
      </c>
    </row>
    <row r="6551" s="2" customFormat="1" spans="1:10">
      <c r="A6551" s="6">
        <f>6549</f>
        <v>6549</v>
      </c>
      <c r="B6551" s="6" t="s">
        <v>16888</v>
      </c>
      <c r="C6551" s="6" t="s">
        <v>12</v>
      </c>
      <c r="D6551" s="6" t="s">
        <v>16132</v>
      </c>
      <c r="E6551" s="6" t="s">
        <v>16885</v>
      </c>
      <c r="F6551" s="6" t="s">
        <v>16889</v>
      </c>
      <c r="G6551" s="6" t="s">
        <v>16</v>
      </c>
      <c r="H6551" s="5">
        <v>1</v>
      </c>
      <c r="I6551" s="6" t="s">
        <v>16889</v>
      </c>
      <c r="J6551" s="5">
        <v>240</v>
      </c>
    </row>
    <row r="6552" s="2" customFormat="1" spans="1:10">
      <c r="A6552" s="6">
        <f>6550</f>
        <v>6550</v>
      </c>
      <c r="B6552" s="6" t="s">
        <v>16890</v>
      </c>
      <c r="C6552" s="6" t="s">
        <v>12</v>
      </c>
      <c r="D6552" s="6" t="s">
        <v>16132</v>
      </c>
      <c r="E6552" s="6" t="s">
        <v>16885</v>
      </c>
      <c r="F6552" s="6" t="s">
        <v>16891</v>
      </c>
      <c r="G6552" s="6" t="s">
        <v>16</v>
      </c>
      <c r="H6552" s="5">
        <v>1</v>
      </c>
      <c r="I6552" s="6" t="s">
        <v>16891</v>
      </c>
      <c r="J6552" s="5">
        <v>300</v>
      </c>
    </row>
    <row r="6553" s="2" customFormat="1" spans="1:10">
      <c r="A6553" s="6">
        <f>6551</f>
        <v>6551</v>
      </c>
      <c r="B6553" s="6" t="s">
        <v>16892</v>
      </c>
      <c r="C6553" s="6" t="s">
        <v>12</v>
      </c>
      <c r="D6553" s="6" t="s">
        <v>16132</v>
      </c>
      <c r="E6553" s="6" t="s">
        <v>16885</v>
      </c>
      <c r="F6553" s="6" t="s">
        <v>16893</v>
      </c>
      <c r="G6553" s="6" t="s">
        <v>16</v>
      </c>
      <c r="H6553" s="5">
        <v>2</v>
      </c>
      <c r="I6553" s="6" t="s">
        <v>16894</v>
      </c>
      <c r="J6553" s="5">
        <v>640</v>
      </c>
    </row>
    <row r="6554" s="2" customFormat="1" spans="1:10">
      <c r="A6554" s="6">
        <f>6552</f>
        <v>6552</v>
      </c>
      <c r="B6554" s="6" t="s">
        <v>16895</v>
      </c>
      <c r="C6554" s="6" t="s">
        <v>12</v>
      </c>
      <c r="D6554" s="6" t="s">
        <v>16132</v>
      </c>
      <c r="E6554" s="6" t="s">
        <v>16885</v>
      </c>
      <c r="F6554" s="6" t="s">
        <v>16896</v>
      </c>
      <c r="G6554" s="6" t="s">
        <v>16</v>
      </c>
      <c r="H6554" s="5">
        <v>3</v>
      </c>
      <c r="I6554" s="6" t="s">
        <v>16897</v>
      </c>
      <c r="J6554" s="5">
        <v>600</v>
      </c>
    </row>
    <row r="6555" s="2" customFormat="1" spans="1:10">
      <c r="A6555" s="6">
        <f>6553</f>
        <v>6553</v>
      </c>
      <c r="B6555" s="6" t="s">
        <v>16898</v>
      </c>
      <c r="C6555" s="6" t="s">
        <v>12</v>
      </c>
      <c r="D6555" s="6" t="s">
        <v>16132</v>
      </c>
      <c r="E6555" s="6" t="s">
        <v>16885</v>
      </c>
      <c r="F6555" s="6" t="s">
        <v>16899</v>
      </c>
      <c r="G6555" s="6" t="s">
        <v>16</v>
      </c>
      <c r="H6555" s="5">
        <v>1</v>
      </c>
      <c r="I6555" s="6" t="s">
        <v>16899</v>
      </c>
      <c r="J6555" s="5">
        <v>360</v>
      </c>
    </row>
    <row r="6556" s="2" customFormat="1" spans="1:10">
      <c r="A6556" s="6">
        <f>6554</f>
        <v>6554</v>
      </c>
      <c r="B6556" s="6" t="s">
        <v>16900</v>
      </c>
      <c r="C6556" s="6" t="s">
        <v>12</v>
      </c>
      <c r="D6556" s="6" t="s">
        <v>16132</v>
      </c>
      <c r="E6556" s="6" t="s">
        <v>16885</v>
      </c>
      <c r="F6556" s="6" t="s">
        <v>16901</v>
      </c>
      <c r="G6556" s="6" t="s">
        <v>16</v>
      </c>
      <c r="H6556" s="5">
        <v>1</v>
      </c>
      <c r="I6556" s="6" t="s">
        <v>16901</v>
      </c>
      <c r="J6556" s="5">
        <v>460</v>
      </c>
    </row>
    <row r="6557" s="2" customFormat="1" spans="1:10">
      <c r="A6557" s="6">
        <f>6555</f>
        <v>6555</v>
      </c>
      <c r="B6557" s="6" t="s">
        <v>16902</v>
      </c>
      <c r="C6557" s="6" t="s">
        <v>12</v>
      </c>
      <c r="D6557" s="6" t="s">
        <v>16132</v>
      </c>
      <c r="E6557" s="6" t="s">
        <v>16885</v>
      </c>
      <c r="F6557" s="6" t="s">
        <v>16903</v>
      </c>
      <c r="G6557" s="6" t="s">
        <v>16</v>
      </c>
      <c r="H6557" s="5">
        <v>1</v>
      </c>
      <c r="I6557" s="6" t="s">
        <v>16903</v>
      </c>
      <c r="J6557" s="5">
        <v>160</v>
      </c>
    </row>
    <row r="6558" s="2" customFormat="1" spans="1:10">
      <c r="A6558" s="6">
        <f>6556</f>
        <v>6556</v>
      </c>
      <c r="B6558" s="6" t="s">
        <v>16904</v>
      </c>
      <c r="C6558" s="6" t="s">
        <v>12</v>
      </c>
      <c r="D6558" s="6" t="s">
        <v>16132</v>
      </c>
      <c r="E6558" s="6" t="s">
        <v>16885</v>
      </c>
      <c r="F6558" s="6" t="s">
        <v>16905</v>
      </c>
      <c r="G6558" s="6" t="s">
        <v>16</v>
      </c>
      <c r="H6558" s="5">
        <v>3</v>
      </c>
      <c r="I6558" s="6" t="s">
        <v>16906</v>
      </c>
      <c r="J6558" s="5">
        <v>968</v>
      </c>
    </row>
    <row r="6559" s="2" customFormat="1" ht="27" spans="1:10">
      <c r="A6559" s="6">
        <f>6557</f>
        <v>6557</v>
      </c>
      <c r="B6559" s="6" t="s">
        <v>16907</v>
      </c>
      <c r="C6559" s="6" t="s">
        <v>12</v>
      </c>
      <c r="D6559" s="6" t="s">
        <v>16132</v>
      </c>
      <c r="E6559" s="6" t="s">
        <v>16885</v>
      </c>
      <c r="F6559" s="6" t="s">
        <v>16908</v>
      </c>
      <c r="G6559" s="6" t="s">
        <v>16</v>
      </c>
      <c r="H6559" s="5">
        <v>4</v>
      </c>
      <c r="I6559" s="6" t="s">
        <v>16909</v>
      </c>
      <c r="J6559" s="5">
        <v>695</v>
      </c>
    </row>
    <row r="6560" s="2" customFormat="1" ht="27" spans="1:10">
      <c r="A6560" s="6">
        <f>6558</f>
        <v>6558</v>
      </c>
      <c r="B6560" s="6" t="s">
        <v>16910</v>
      </c>
      <c r="C6560" s="6" t="s">
        <v>12</v>
      </c>
      <c r="D6560" s="6" t="s">
        <v>16132</v>
      </c>
      <c r="E6560" s="6" t="s">
        <v>16885</v>
      </c>
      <c r="F6560" s="6" t="s">
        <v>16911</v>
      </c>
      <c r="G6560" s="6" t="s">
        <v>16</v>
      </c>
      <c r="H6560" s="5">
        <v>5</v>
      </c>
      <c r="I6560" s="6" t="s">
        <v>16912</v>
      </c>
      <c r="J6560" s="5">
        <v>720</v>
      </c>
    </row>
    <row r="6561" s="2" customFormat="1" spans="1:10">
      <c r="A6561" s="6">
        <f>6559</f>
        <v>6559</v>
      </c>
      <c r="B6561" s="6" t="s">
        <v>16913</v>
      </c>
      <c r="C6561" s="6" t="s">
        <v>12</v>
      </c>
      <c r="D6561" s="6" t="s">
        <v>16132</v>
      </c>
      <c r="E6561" s="6" t="s">
        <v>16885</v>
      </c>
      <c r="F6561" s="6" t="s">
        <v>16914</v>
      </c>
      <c r="G6561" s="6" t="s">
        <v>16</v>
      </c>
      <c r="H6561" s="5">
        <v>1</v>
      </c>
      <c r="I6561" s="6" t="s">
        <v>16914</v>
      </c>
      <c r="J6561" s="5">
        <v>400</v>
      </c>
    </row>
    <row r="6562" s="2" customFormat="1" spans="1:10">
      <c r="A6562" s="6">
        <f>6560</f>
        <v>6560</v>
      </c>
      <c r="B6562" s="6" t="s">
        <v>16915</v>
      </c>
      <c r="C6562" s="6" t="s">
        <v>12</v>
      </c>
      <c r="D6562" s="6" t="s">
        <v>16132</v>
      </c>
      <c r="E6562" s="6" t="s">
        <v>16885</v>
      </c>
      <c r="F6562" s="6" t="s">
        <v>16916</v>
      </c>
      <c r="G6562" s="6" t="s">
        <v>16</v>
      </c>
      <c r="H6562" s="5">
        <v>2</v>
      </c>
      <c r="I6562" s="6" t="s">
        <v>16917</v>
      </c>
      <c r="J6562" s="5">
        <v>674</v>
      </c>
    </row>
    <row r="6563" s="2" customFormat="1" ht="27" spans="1:10">
      <c r="A6563" s="6">
        <f>6561</f>
        <v>6561</v>
      </c>
      <c r="B6563" s="6" t="s">
        <v>16918</v>
      </c>
      <c r="C6563" s="6" t="s">
        <v>12</v>
      </c>
      <c r="D6563" s="6" t="s">
        <v>16132</v>
      </c>
      <c r="E6563" s="6" t="s">
        <v>16885</v>
      </c>
      <c r="F6563" s="6" t="s">
        <v>16919</v>
      </c>
      <c r="G6563" s="6" t="s">
        <v>16</v>
      </c>
      <c r="H6563" s="5">
        <v>5</v>
      </c>
      <c r="I6563" s="6" t="s">
        <v>16920</v>
      </c>
      <c r="J6563" s="5">
        <v>500</v>
      </c>
    </row>
    <row r="6564" s="2" customFormat="1" ht="27" spans="1:10">
      <c r="A6564" s="6">
        <f>6562</f>
        <v>6562</v>
      </c>
      <c r="B6564" s="6" t="s">
        <v>16921</v>
      </c>
      <c r="C6564" s="6" t="s">
        <v>12</v>
      </c>
      <c r="D6564" s="6" t="s">
        <v>16132</v>
      </c>
      <c r="E6564" s="6" t="s">
        <v>16885</v>
      </c>
      <c r="F6564" s="6" t="s">
        <v>16922</v>
      </c>
      <c r="G6564" s="6" t="s">
        <v>16</v>
      </c>
      <c r="H6564" s="5">
        <v>4</v>
      </c>
      <c r="I6564" s="6" t="s">
        <v>16923</v>
      </c>
      <c r="J6564" s="5">
        <v>779</v>
      </c>
    </row>
    <row r="6565" s="2" customFormat="1" ht="27" spans="1:10">
      <c r="A6565" s="6">
        <f>6563</f>
        <v>6563</v>
      </c>
      <c r="B6565" s="6" t="s">
        <v>16924</v>
      </c>
      <c r="C6565" s="6" t="s">
        <v>12</v>
      </c>
      <c r="D6565" s="6" t="s">
        <v>16132</v>
      </c>
      <c r="E6565" s="6" t="s">
        <v>16885</v>
      </c>
      <c r="F6565" s="6" t="s">
        <v>16925</v>
      </c>
      <c r="G6565" s="6" t="s">
        <v>16</v>
      </c>
      <c r="H6565" s="5">
        <v>5</v>
      </c>
      <c r="I6565" s="6" t="s">
        <v>16926</v>
      </c>
      <c r="J6565" s="5">
        <v>600</v>
      </c>
    </row>
    <row r="6566" s="2" customFormat="1" spans="1:10">
      <c r="A6566" s="6">
        <f>6564</f>
        <v>6564</v>
      </c>
      <c r="B6566" s="6" t="s">
        <v>16927</v>
      </c>
      <c r="C6566" s="6" t="s">
        <v>12</v>
      </c>
      <c r="D6566" s="6" t="s">
        <v>16132</v>
      </c>
      <c r="E6566" s="6" t="s">
        <v>16885</v>
      </c>
      <c r="F6566" s="6" t="s">
        <v>16928</v>
      </c>
      <c r="G6566" s="6" t="s">
        <v>16</v>
      </c>
      <c r="H6566" s="5">
        <v>3</v>
      </c>
      <c r="I6566" s="6" t="s">
        <v>16929</v>
      </c>
      <c r="J6566" s="5">
        <v>635</v>
      </c>
    </row>
    <row r="6567" s="2" customFormat="1" spans="1:10">
      <c r="A6567" s="6">
        <f>6565</f>
        <v>6565</v>
      </c>
      <c r="B6567" s="6" t="s">
        <v>16930</v>
      </c>
      <c r="C6567" s="6" t="s">
        <v>12</v>
      </c>
      <c r="D6567" s="6" t="s">
        <v>16132</v>
      </c>
      <c r="E6567" s="6" t="s">
        <v>16885</v>
      </c>
      <c r="F6567" s="6" t="s">
        <v>16931</v>
      </c>
      <c r="G6567" s="6" t="s">
        <v>16</v>
      </c>
      <c r="H6567" s="5">
        <v>2</v>
      </c>
      <c r="I6567" s="6" t="s">
        <v>16932</v>
      </c>
      <c r="J6567" s="5">
        <v>510</v>
      </c>
    </row>
    <row r="6568" s="2" customFormat="1" spans="1:10">
      <c r="A6568" s="6">
        <f>6566</f>
        <v>6566</v>
      </c>
      <c r="B6568" s="6" t="s">
        <v>16933</v>
      </c>
      <c r="C6568" s="6" t="s">
        <v>12</v>
      </c>
      <c r="D6568" s="6" t="s">
        <v>16132</v>
      </c>
      <c r="E6568" s="6" t="s">
        <v>16885</v>
      </c>
      <c r="F6568" s="6" t="s">
        <v>16934</v>
      </c>
      <c r="G6568" s="6" t="s">
        <v>16</v>
      </c>
      <c r="H6568" s="5">
        <v>2</v>
      </c>
      <c r="I6568" s="6" t="s">
        <v>16935</v>
      </c>
      <c r="J6568" s="5">
        <v>580</v>
      </c>
    </row>
    <row r="6569" s="2" customFormat="1" ht="27" spans="1:10">
      <c r="A6569" s="6">
        <f>6567</f>
        <v>6567</v>
      </c>
      <c r="B6569" s="6" t="s">
        <v>16936</v>
      </c>
      <c r="C6569" s="6" t="s">
        <v>12</v>
      </c>
      <c r="D6569" s="6" t="s">
        <v>16132</v>
      </c>
      <c r="E6569" s="6" t="s">
        <v>16885</v>
      </c>
      <c r="F6569" s="6" t="s">
        <v>16937</v>
      </c>
      <c r="G6569" s="6" t="s">
        <v>16</v>
      </c>
      <c r="H6569" s="5">
        <v>4</v>
      </c>
      <c r="I6569" s="6" t="s">
        <v>16938</v>
      </c>
      <c r="J6569" s="5">
        <v>610</v>
      </c>
    </row>
    <row r="6570" s="2" customFormat="1" spans="1:10">
      <c r="A6570" s="6">
        <f>6568</f>
        <v>6568</v>
      </c>
      <c r="B6570" s="6" t="s">
        <v>16939</v>
      </c>
      <c r="C6570" s="6" t="s">
        <v>12</v>
      </c>
      <c r="D6570" s="6" t="s">
        <v>16132</v>
      </c>
      <c r="E6570" s="6" t="s">
        <v>16885</v>
      </c>
      <c r="F6570" s="6" t="s">
        <v>16940</v>
      </c>
      <c r="G6570" s="6" t="s">
        <v>16</v>
      </c>
      <c r="H6570" s="5">
        <v>3</v>
      </c>
      <c r="I6570" s="6" t="s">
        <v>16941</v>
      </c>
      <c r="J6570" s="5">
        <v>650</v>
      </c>
    </row>
    <row r="6571" s="2" customFormat="1" spans="1:10">
      <c r="A6571" s="6">
        <f>6569</f>
        <v>6569</v>
      </c>
      <c r="B6571" s="6" t="s">
        <v>16942</v>
      </c>
      <c r="C6571" s="6" t="s">
        <v>12</v>
      </c>
      <c r="D6571" s="6" t="s">
        <v>16132</v>
      </c>
      <c r="E6571" s="6" t="s">
        <v>16885</v>
      </c>
      <c r="F6571" s="6" t="s">
        <v>16943</v>
      </c>
      <c r="G6571" s="6" t="s">
        <v>16</v>
      </c>
      <c r="H6571" s="5">
        <v>2</v>
      </c>
      <c r="I6571" s="6" t="s">
        <v>16944</v>
      </c>
      <c r="J6571" s="5">
        <v>740</v>
      </c>
    </row>
    <row r="6572" s="2" customFormat="1" spans="1:10">
      <c r="A6572" s="6">
        <f>6570</f>
        <v>6570</v>
      </c>
      <c r="B6572" s="6" t="s">
        <v>16945</v>
      </c>
      <c r="C6572" s="6" t="s">
        <v>12</v>
      </c>
      <c r="D6572" s="6" t="s">
        <v>16132</v>
      </c>
      <c r="E6572" s="6" t="s">
        <v>16885</v>
      </c>
      <c r="F6572" s="6" t="s">
        <v>16946</v>
      </c>
      <c r="G6572" s="6" t="s">
        <v>16</v>
      </c>
      <c r="H6572" s="5">
        <v>2</v>
      </c>
      <c r="I6572" s="6" t="s">
        <v>16947</v>
      </c>
      <c r="J6572" s="5">
        <v>550</v>
      </c>
    </row>
    <row r="6573" s="2" customFormat="1" ht="27" spans="1:10">
      <c r="A6573" s="6">
        <f>6571</f>
        <v>6571</v>
      </c>
      <c r="B6573" s="6" t="s">
        <v>16948</v>
      </c>
      <c r="C6573" s="6" t="s">
        <v>12</v>
      </c>
      <c r="D6573" s="6" t="s">
        <v>16132</v>
      </c>
      <c r="E6573" s="6" t="s">
        <v>16885</v>
      </c>
      <c r="F6573" s="6" t="s">
        <v>16949</v>
      </c>
      <c r="G6573" s="6" t="s">
        <v>16</v>
      </c>
      <c r="H6573" s="5">
        <v>5</v>
      </c>
      <c r="I6573" s="6" t="s">
        <v>16950</v>
      </c>
      <c r="J6573" s="5">
        <v>624</v>
      </c>
    </row>
    <row r="6574" s="2" customFormat="1" spans="1:10">
      <c r="A6574" s="6">
        <f>6572</f>
        <v>6572</v>
      </c>
      <c r="B6574" s="6" t="s">
        <v>16951</v>
      </c>
      <c r="C6574" s="6" t="s">
        <v>12</v>
      </c>
      <c r="D6574" s="6" t="s">
        <v>16132</v>
      </c>
      <c r="E6574" s="6" t="s">
        <v>16885</v>
      </c>
      <c r="F6574" s="6" t="s">
        <v>16952</v>
      </c>
      <c r="G6574" s="6" t="s">
        <v>16</v>
      </c>
      <c r="H6574" s="5">
        <v>1</v>
      </c>
      <c r="I6574" s="6" t="s">
        <v>16952</v>
      </c>
      <c r="J6574" s="5">
        <v>500</v>
      </c>
    </row>
    <row r="6575" s="2" customFormat="1" ht="27" spans="1:10">
      <c r="A6575" s="6">
        <f>6573</f>
        <v>6573</v>
      </c>
      <c r="B6575" s="6" t="s">
        <v>16953</v>
      </c>
      <c r="C6575" s="6" t="s">
        <v>12</v>
      </c>
      <c r="D6575" s="6" t="s">
        <v>16132</v>
      </c>
      <c r="E6575" s="6" t="s">
        <v>16885</v>
      </c>
      <c r="F6575" s="6" t="s">
        <v>16954</v>
      </c>
      <c r="G6575" s="6" t="s">
        <v>16</v>
      </c>
      <c r="H6575" s="5">
        <v>4</v>
      </c>
      <c r="I6575" s="6" t="s">
        <v>16955</v>
      </c>
      <c r="J6575" s="5">
        <v>780</v>
      </c>
    </row>
    <row r="6576" s="2" customFormat="1" spans="1:10">
      <c r="A6576" s="6">
        <f>6574</f>
        <v>6574</v>
      </c>
      <c r="B6576" s="6" t="s">
        <v>16956</v>
      </c>
      <c r="C6576" s="6" t="s">
        <v>12</v>
      </c>
      <c r="D6576" s="6" t="s">
        <v>16132</v>
      </c>
      <c r="E6576" s="6" t="s">
        <v>16885</v>
      </c>
      <c r="F6576" s="6" t="s">
        <v>16957</v>
      </c>
      <c r="G6576" s="6" t="s">
        <v>16</v>
      </c>
      <c r="H6576" s="5">
        <v>1</v>
      </c>
      <c r="I6576" s="6" t="s">
        <v>16957</v>
      </c>
      <c r="J6576" s="5">
        <v>314</v>
      </c>
    </row>
    <row r="6577" s="2" customFormat="1" spans="1:10">
      <c r="A6577" s="6">
        <f>6575</f>
        <v>6575</v>
      </c>
      <c r="B6577" s="6" t="s">
        <v>16958</v>
      </c>
      <c r="C6577" s="6" t="s">
        <v>12</v>
      </c>
      <c r="D6577" s="6" t="s">
        <v>16132</v>
      </c>
      <c r="E6577" s="6" t="s">
        <v>16885</v>
      </c>
      <c r="F6577" s="6" t="s">
        <v>16959</v>
      </c>
      <c r="G6577" s="6" t="s">
        <v>16</v>
      </c>
      <c r="H6577" s="5">
        <v>1</v>
      </c>
      <c r="I6577" s="6" t="s">
        <v>16959</v>
      </c>
      <c r="J6577" s="5">
        <v>500</v>
      </c>
    </row>
    <row r="6578" s="2" customFormat="1" spans="1:10">
      <c r="A6578" s="6">
        <f>6576</f>
        <v>6576</v>
      </c>
      <c r="B6578" s="6" t="s">
        <v>16960</v>
      </c>
      <c r="C6578" s="6" t="s">
        <v>12</v>
      </c>
      <c r="D6578" s="6" t="s">
        <v>16132</v>
      </c>
      <c r="E6578" s="6" t="s">
        <v>16885</v>
      </c>
      <c r="F6578" s="6" t="s">
        <v>16961</v>
      </c>
      <c r="G6578" s="6" t="s">
        <v>16</v>
      </c>
      <c r="H6578" s="5">
        <v>3</v>
      </c>
      <c r="I6578" s="6" t="s">
        <v>16962</v>
      </c>
      <c r="J6578" s="5">
        <v>908</v>
      </c>
    </row>
    <row r="6579" s="2" customFormat="1" spans="1:10">
      <c r="A6579" s="6">
        <f>6577</f>
        <v>6577</v>
      </c>
      <c r="B6579" s="6" t="s">
        <v>16963</v>
      </c>
      <c r="C6579" s="6" t="s">
        <v>12</v>
      </c>
      <c r="D6579" s="6" t="s">
        <v>16132</v>
      </c>
      <c r="E6579" s="6" t="s">
        <v>16885</v>
      </c>
      <c r="F6579" s="6" t="s">
        <v>16964</v>
      </c>
      <c r="G6579" s="6" t="s">
        <v>16</v>
      </c>
      <c r="H6579" s="5">
        <v>1</v>
      </c>
      <c r="I6579" s="6" t="s">
        <v>16964</v>
      </c>
      <c r="J6579" s="5">
        <v>260</v>
      </c>
    </row>
    <row r="6580" s="2" customFormat="1" spans="1:10">
      <c r="A6580" s="6">
        <f>6578</f>
        <v>6578</v>
      </c>
      <c r="B6580" s="6" t="s">
        <v>16965</v>
      </c>
      <c r="C6580" s="6" t="s">
        <v>12</v>
      </c>
      <c r="D6580" s="6" t="s">
        <v>16132</v>
      </c>
      <c r="E6580" s="6" t="s">
        <v>16885</v>
      </c>
      <c r="F6580" s="6" t="s">
        <v>16966</v>
      </c>
      <c r="G6580" s="6" t="s">
        <v>16</v>
      </c>
      <c r="H6580" s="5">
        <v>3</v>
      </c>
      <c r="I6580" s="6" t="s">
        <v>16967</v>
      </c>
      <c r="J6580" s="5">
        <v>510</v>
      </c>
    </row>
    <row r="6581" s="2" customFormat="1" spans="1:10">
      <c r="A6581" s="6">
        <f>6579</f>
        <v>6579</v>
      </c>
      <c r="B6581" s="6" t="s">
        <v>16968</v>
      </c>
      <c r="C6581" s="6" t="s">
        <v>12</v>
      </c>
      <c r="D6581" s="6" t="s">
        <v>16132</v>
      </c>
      <c r="E6581" s="6" t="s">
        <v>16885</v>
      </c>
      <c r="F6581" s="6" t="s">
        <v>16969</v>
      </c>
      <c r="G6581" s="6" t="s">
        <v>16</v>
      </c>
      <c r="H6581" s="5">
        <v>1</v>
      </c>
      <c r="I6581" s="6" t="s">
        <v>16969</v>
      </c>
      <c r="J6581" s="5">
        <v>260</v>
      </c>
    </row>
    <row r="6582" s="2" customFormat="1" spans="1:10">
      <c r="A6582" s="6">
        <f>6580</f>
        <v>6580</v>
      </c>
      <c r="B6582" s="6" t="s">
        <v>16970</v>
      </c>
      <c r="C6582" s="6" t="s">
        <v>12</v>
      </c>
      <c r="D6582" s="6" t="s">
        <v>16132</v>
      </c>
      <c r="E6582" s="6" t="s">
        <v>16885</v>
      </c>
      <c r="F6582" s="6" t="s">
        <v>16971</v>
      </c>
      <c r="G6582" s="6" t="s">
        <v>16</v>
      </c>
      <c r="H6582" s="5">
        <v>1</v>
      </c>
      <c r="I6582" s="6" t="s">
        <v>16971</v>
      </c>
      <c r="J6582" s="5">
        <v>360</v>
      </c>
    </row>
    <row r="6583" s="2" customFormat="1" ht="27" spans="1:10">
      <c r="A6583" s="6">
        <f>6581</f>
        <v>6581</v>
      </c>
      <c r="B6583" s="6" t="s">
        <v>16972</v>
      </c>
      <c r="C6583" s="6" t="s">
        <v>12</v>
      </c>
      <c r="D6583" s="6" t="s">
        <v>16132</v>
      </c>
      <c r="E6583" s="6" t="s">
        <v>16885</v>
      </c>
      <c r="F6583" s="6" t="s">
        <v>16973</v>
      </c>
      <c r="G6583" s="6" t="s">
        <v>16</v>
      </c>
      <c r="H6583" s="5">
        <v>5</v>
      </c>
      <c r="I6583" s="6" t="s">
        <v>16974</v>
      </c>
      <c r="J6583" s="5">
        <v>600</v>
      </c>
    </row>
    <row r="6584" s="2" customFormat="1" ht="40.5" spans="1:10">
      <c r="A6584" s="6">
        <f>6582</f>
        <v>6582</v>
      </c>
      <c r="B6584" s="6" t="s">
        <v>16975</v>
      </c>
      <c r="C6584" s="6" t="s">
        <v>12</v>
      </c>
      <c r="D6584" s="6" t="s">
        <v>16132</v>
      </c>
      <c r="E6584" s="6" t="s">
        <v>16885</v>
      </c>
      <c r="F6584" s="6" t="s">
        <v>16976</v>
      </c>
      <c r="G6584" s="6" t="s">
        <v>16</v>
      </c>
      <c r="H6584" s="5">
        <v>7</v>
      </c>
      <c r="I6584" s="6" t="s">
        <v>16977</v>
      </c>
      <c r="J6584" s="5">
        <v>840</v>
      </c>
    </row>
    <row r="6585" s="2" customFormat="1" ht="40.5" spans="1:10">
      <c r="A6585" s="6">
        <f>6583</f>
        <v>6583</v>
      </c>
      <c r="B6585" s="6" t="s">
        <v>16978</v>
      </c>
      <c r="C6585" s="6" t="s">
        <v>12</v>
      </c>
      <c r="D6585" s="6" t="s">
        <v>16132</v>
      </c>
      <c r="E6585" s="6" t="s">
        <v>16885</v>
      </c>
      <c r="F6585" s="6" t="s">
        <v>16979</v>
      </c>
      <c r="G6585" s="6" t="s">
        <v>16</v>
      </c>
      <c r="H6585" s="5">
        <v>7</v>
      </c>
      <c r="I6585" s="6" t="s">
        <v>16980</v>
      </c>
      <c r="J6585" s="5">
        <v>940</v>
      </c>
    </row>
    <row r="6586" s="2" customFormat="1" ht="27" spans="1:10">
      <c r="A6586" s="6">
        <f>6584</f>
        <v>6584</v>
      </c>
      <c r="B6586" s="6" t="s">
        <v>16981</v>
      </c>
      <c r="C6586" s="6" t="s">
        <v>12</v>
      </c>
      <c r="D6586" s="6" t="s">
        <v>16132</v>
      </c>
      <c r="E6586" s="6" t="s">
        <v>16885</v>
      </c>
      <c r="F6586" s="6" t="s">
        <v>16982</v>
      </c>
      <c r="G6586" s="6" t="s">
        <v>16</v>
      </c>
      <c r="H6586" s="5">
        <v>4</v>
      </c>
      <c r="I6586" s="6" t="s">
        <v>16983</v>
      </c>
      <c r="J6586" s="5">
        <v>527</v>
      </c>
    </row>
    <row r="6587" s="2" customFormat="1" spans="1:10">
      <c r="A6587" s="6">
        <f>6585</f>
        <v>6585</v>
      </c>
      <c r="B6587" s="6" t="s">
        <v>16984</v>
      </c>
      <c r="C6587" s="6" t="s">
        <v>12</v>
      </c>
      <c r="D6587" s="6" t="s">
        <v>16132</v>
      </c>
      <c r="E6587" s="6" t="s">
        <v>16885</v>
      </c>
      <c r="F6587" s="6" t="s">
        <v>16985</v>
      </c>
      <c r="G6587" s="6" t="s">
        <v>16</v>
      </c>
      <c r="H6587" s="5">
        <v>1</v>
      </c>
      <c r="I6587" s="6" t="s">
        <v>16985</v>
      </c>
      <c r="J6587" s="5">
        <v>260</v>
      </c>
    </row>
    <row r="6588" s="2" customFormat="1" spans="1:10">
      <c r="A6588" s="6">
        <f>6586</f>
        <v>6586</v>
      </c>
      <c r="B6588" s="6" t="s">
        <v>16986</v>
      </c>
      <c r="C6588" s="6" t="s">
        <v>12</v>
      </c>
      <c r="D6588" s="6" t="s">
        <v>16132</v>
      </c>
      <c r="E6588" s="6" t="s">
        <v>16885</v>
      </c>
      <c r="F6588" s="6" t="s">
        <v>16987</v>
      </c>
      <c r="G6588" s="6" t="s">
        <v>16</v>
      </c>
      <c r="H6588" s="5">
        <v>2</v>
      </c>
      <c r="I6588" s="6" t="s">
        <v>16988</v>
      </c>
      <c r="J6588" s="5">
        <v>840</v>
      </c>
    </row>
    <row r="6589" s="2" customFormat="1" spans="1:10">
      <c r="A6589" s="6">
        <f>6587</f>
        <v>6587</v>
      </c>
      <c r="B6589" s="6" t="s">
        <v>16989</v>
      </c>
      <c r="C6589" s="6" t="s">
        <v>12</v>
      </c>
      <c r="D6589" s="6" t="s">
        <v>16132</v>
      </c>
      <c r="E6589" s="6" t="s">
        <v>16885</v>
      </c>
      <c r="F6589" s="6" t="s">
        <v>16990</v>
      </c>
      <c r="G6589" s="6" t="s">
        <v>16</v>
      </c>
      <c r="H6589" s="5">
        <v>2</v>
      </c>
      <c r="I6589" s="6" t="s">
        <v>16991</v>
      </c>
      <c r="J6589" s="5">
        <v>390</v>
      </c>
    </row>
    <row r="6590" s="2" customFormat="1" spans="1:10">
      <c r="A6590" s="6">
        <f>6588</f>
        <v>6588</v>
      </c>
      <c r="B6590" s="6" t="s">
        <v>16992</v>
      </c>
      <c r="C6590" s="6" t="s">
        <v>12</v>
      </c>
      <c r="D6590" s="6" t="s">
        <v>16132</v>
      </c>
      <c r="E6590" s="6" t="s">
        <v>16885</v>
      </c>
      <c r="F6590" s="6" t="s">
        <v>16993</v>
      </c>
      <c r="G6590" s="6" t="s">
        <v>16</v>
      </c>
      <c r="H6590" s="5">
        <v>2</v>
      </c>
      <c r="I6590" s="6" t="s">
        <v>16994</v>
      </c>
      <c r="J6590" s="5">
        <v>320</v>
      </c>
    </row>
    <row r="6591" s="2" customFormat="1" ht="27" spans="1:10">
      <c r="A6591" s="6">
        <f>6589</f>
        <v>6589</v>
      </c>
      <c r="B6591" s="6" t="s">
        <v>16995</v>
      </c>
      <c r="C6591" s="6" t="s">
        <v>12</v>
      </c>
      <c r="D6591" s="6" t="s">
        <v>16132</v>
      </c>
      <c r="E6591" s="6" t="s">
        <v>16885</v>
      </c>
      <c r="F6591" s="6" t="s">
        <v>4947</v>
      </c>
      <c r="G6591" s="6" t="s">
        <v>16</v>
      </c>
      <c r="H6591" s="5">
        <v>5</v>
      </c>
      <c r="I6591" s="6" t="s">
        <v>16996</v>
      </c>
      <c r="J6591" s="5">
        <v>600</v>
      </c>
    </row>
    <row r="6592" s="2" customFormat="1" spans="1:10">
      <c r="A6592" s="6">
        <f>6590</f>
        <v>6590</v>
      </c>
      <c r="B6592" s="6" t="s">
        <v>16997</v>
      </c>
      <c r="C6592" s="6" t="s">
        <v>12</v>
      </c>
      <c r="D6592" s="6" t="s">
        <v>16132</v>
      </c>
      <c r="E6592" s="6" t="s">
        <v>16998</v>
      </c>
      <c r="F6592" s="6" t="s">
        <v>16999</v>
      </c>
      <c r="G6592" s="6" t="s">
        <v>16</v>
      </c>
      <c r="H6592" s="5">
        <v>1</v>
      </c>
      <c r="I6592" s="6" t="s">
        <v>16999</v>
      </c>
      <c r="J6592" s="5">
        <v>260</v>
      </c>
    </row>
    <row r="6593" s="2" customFormat="1" spans="1:10">
      <c r="A6593" s="6">
        <f>6591</f>
        <v>6591</v>
      </c>
      <c r="B6593" s="6" t="s">
        <v>17000</v>
      </c>
      <c r="C6593" s="6" t="s">
        <v>12</v>
      </c>
      <c r="D6593" s="6" t="s">
        <v>16132</v>
      </c>
      <c r="E6593" s="6" t="s">
        <v>16998</v>
      </c>
      <c r="F6593" s="6" t="s">
        <v>17001</v>
      </c>
      <c r="G6593" s="6" t="s">
        <v>16</v>
      </c>
      <c r="H6593" s="5">
        <v>1</v>
      </c>
      <c r="I6593" s="6" t="s">
        <v>17001</v>
      </c>
      <c r="J6593" s="5">
        <v>220</v>
      </c>
    </row>
    <row r="6594" s="2" customFormat="1" spans="1:10">
      <c r="A6594" s="6">
        <f>6592</f>
        <v>6592</v>
      </c>
      <c r="B6594" s="6" t="s">
        <v>17002</v>
      </c>
      <c r="C6594" s="6" t="s">
        <v>12</v>
      </c>
      <c r="D6594" s="6" t="s">
        <v>16132</v>
      </c>
      <c r="E6594" s="6" t="s">
        <v>16998</v>
      </c>
      <c r="F6594" s="6" t="s">
        <v>17003</v>
      </c>
      <c r="G6594" s="6" t="s">
        <v>16</v>
      </c>
      <c r="H6594" s="5">
        <v>2</v>
      </c>
      <c r="I6594" s="6" t="s">
        <v>17004</v>
      </c>
      <c r="J6594" s="5">
        <v>1080</v>
      </c>
    </row>
    <row r="6595" s="2" customFormat="1" spans="1:10">
      <c r="A6595" s="6">
        <f>6593</f>
        <v>6593</v>
      </c>
      <c r="B6595" s="6" t="s">
        <v>17005</v>
      </c>
      <c r="C6595" s="6" t="s">
        <v>12</v>
      </c>
      <c r="D6595" s="6" t="s">
        <v>16132</v>
      </c>
      <c r="E6595" s="6" t="s">
        <v>16998</v>
      </c>
      <c r="F6595" s="6" t="s">
        <v>17006</v>
      </c>
      <c r="G6595" s="6" t="s">
        <v>16</v>
      </c>
      <c r="H6595" s="5">
        <v>3</v>
      </c>
      <c r="I6595" s="6" t="s">
        <v>17007</v>
      </c>
      <c r="J6595" s="5">
        <v>1100</v>
      </c>
    </row>
    <row r="6596" s="2" customFormat="1" ht="27" spans="1:10">
      <c r="A6596" s="6">
        <f>6594</f>
        <v>6594</v>
      </c>
      <c r="B6596" s="6" t="s">
        <v>17008</v>
      </c>
      <c r="C6596" s="6" t="s">
        <v>12</v>
      </c>
      <c r="D6596" s="6" t="s">
        <v>16132</v>
      </c>
      <c r="E6596" s="6" t="s">
        <v>16998</v>
      </c>
      <c r="F6596" s="6" t="s">
        <v>17009</v>
      </c>
      <c r="G6596" s="6" t="s">
        <v>16</v>
      </c>
      <c r="H6596" s="5">
        <v>4</v>
      </c>
      <c r="I6596" s="6" t="s">
        <v>17010</v>
      </c>
      <c r="J6596" s="5">
        <v>1360</v>
      </c>
    </row>
    <row r="6597" s="2" customFormat="1" spans="1:10">
      <c r="A6597" s="6">
        <f>6595</f>
        <v>6595</v>
      </c>
      <c r="B6597" s="6" t="s">
        <v>17011</v>
      </c>
      <c r="C6597" s="6" t="s">
        <v>12</v>
      </c>
      <c r="D6597" s="6" t="s">
        <v>16132</v>
      </c>
      <c r="E6597" s="6" t="s">
        <v>16998</v>
      </c>
      <c r="F6597" s="6" t="s">
        <v>17012</v>
      </c>
      <c r="G6597" s="6" t="s">
        <v>16</v>
      </c>
      <c r="H6597" s="5">
        <v>1</v>
      </c>
      <c r="I6597" s="6" t="s">
        <v>17012</v>
      </c>
      <c r="J6597" s="5">
        <v>620</v>
      </c>
    </row>
    <row r="6598" s="2" customFormat="1" spans="1:10">
      <c r="A6598" s="6">
        <f>6596</f>
        <v>6596</v>
      </c>
      <c r="B6598" s="6" t="s">
        <v>17013</v>
      </c>
      <c r="C6598" s="6" t="s">
        <v>12</v>
      </c>
      <c r="D6598" s="6" t="s">
        <v>16132</v>
      </c>
      <c r="E6598" s="6" t="s">
        <v>16998</v>
      </c>
      <c r="F6598" s="6" t="s">
        <v>17014</v>
      </c>
      <c r="G6598" s="6" t="s">
        <v>16</v>
      </c>
      <c r="H6598" s="5">
        <v>3</v>
      </c>
      <c r="I6598" s="6" t="s">
        <v>17015</v>
      </c>
      <c r="J6598" s="5">
        <v>945</v>
      </c>
    </row>
    <row r="6599" s="2" customFormat="1" spans="1:10">
      <c r="A6599" s="6">
        <f>6597</f>
        <v>6597</v>
      </c>
      <c r="B6599" s="6" t="s">
        <v>17016</v>
      </c>
      <c r="C6599" s="6" t="s">
        <v>12</v>
      </c>
      <c r="D6599" s="6" t="s">
        <v>16132</v>
      </c>
      <c r="E6599" s="6" t="s">
        <v>16998</v>
      </c>
      <c r="F6599" s="6" t="s">
        <v>17017</v>
      </c>
      <c r="G6599" s="6" t="s">
        <v>16</v>
      </c>
      <c r="H6599" s="5">
        <v>3</v>
      </c>
      <c r="I6599" s="6" t="s">
        <v>17018</v>
      </c>
      <c r="J6599" s="5">
        <v>1320</v>
      </c>
    </row>
    <row r="6600" s="2" customFormat="1" ht="27" spans="1:10">
      <c r="A6600" s="6">
        <f>6598</f>
        <v>6598</v>
      </c>
      <c r="B6600" s="6" t="s">
        <v>17019</v>
      </c>
      <c r="C6600" s="6" t="s">
        <v>12</v>
      </c>
      <c r="D6600" s="6" t="s">
        <v>16132</v>
      </c>
      <c r="E6600" s="6" t="s">
        <v>16998</v>
      </c>
      <c r="F6600" s="6" t="s">
        <v>17020</v>
      </c>
      <c r="G6600" s="6" t="s">
        <v>16</v>
      </c>
      <c r="H6600" s="5">
        <v>6</v>
      </c>
      <c r="I6600" s="6" t="s">
        <v>17021</v>
      </c>
      <c r="J6600" s="5">
        <v>1360</v>
      </c>
    </row>
    <row r="6601" s="2" customFormat="1" ht="27" spans="1:10">
      <c r="A6601" s="6">
        <f>6599</f>
        <v>6599</v>
      </c>
      <c r="B6601" s="6" t="s">
        <v>17022</v>
      </c>
      <c r="C6601" s="6" t="s">
        <v>12</v>
      </c>
      <c r="D6601" s="6" t="s">
        <v>16132</v>
      </c>
      <c r="E6601" s="6" t="s">
        <v>16998</v>
      </c>
      <c r="F6601" s="6" t="s">
        <v>17023</v>
      </c>
      <c r="G6601" s="6" t="s">
        <v>16</v>
      </c>
      <c r="H6601" s="5">
        <v>5</v>
      </c>
      <c r="I6601" s="6" t="s">
        <v>17024</v>
      </c>
      <c r="J6601" s="5">
        <v>900</v>
      </c>
    </row>
    <row r="6602" s="2" customFormat="1" spans="1:10">
      <c r="A6602" s="6">
        <f>6600</f>
        <v>6600</v>
      </c>
      <c r="B6602" s="6" t="s">
        <v>17025</v>
      </c>
      <c r="C6602" s="6" t="s">
        <v>12</v>
      </c>
      <c r="D6602" s="6" t="s">
        <v>16132</v>
      </c>
      <c r="E6602" s="6" t="s">
        <v>16998</v>
      </c>
      <c r="F6602" s="6" t="s">
        <v>17026</v>
      </c>
      <c r="G6602" s="6" t="s">
        <v>16</v>
      </c>
      <c r="H6602" s="5">
        <v>3</v>
      </c>
      <c r="I6602" s="6" t="s">
        <v>17027</v>
      </c>
      <c r="J6602" s="5">
        <v>860</v>
      </c>
    </row>
    <row r="6603" s="2" customFormat="1" ht="40.5" spans="1:10">
      <c r="A6603" s="6">
        <f>6601</f>
        <v>6601</v>
      </c>
      <c r="B6603" s="6" t="s">
        <v>17028</v>
      </c>
      <c r="C6603" s="6" t="s">
        <v>12</v>
      </c>
      <c r="D6603" s="6" t="s">
        <v>16132</v>
      </c>
      <c r="E6603" s="6" t="s">
        <v>16998</v>
      </c>
      <c r="F6603" s="6" t="s">
        <v>17029</v>
      </c>
      <c r="G6603" s="6" t="s">
        <v>16</v>
      </c>
      <c r="H6603" s="5">
        <v>7</v>
      </c>
      <c r="I6603" s="6" t="s">
        <v>17030</v>
      </c>
      <c r="J6603" s="5">
        <v>2080</v>
      </c>
    </row>
    <row r="6604" s="2" customFormat="1" spans="1:10">
      <c r="A6604" s="6">
        <f>6602</f>
        <v>6602</v>
      </c>
      <c r="B6604" s="6" t="s">
        <v>17031</v>
      </c>
      <c r="C6604" s="6" t="s">
        <v>12</v>
      </c>
      <c r="D6604" s="6" t="s">
        <v>16132</v>
      </c>
      <c r="E6604" s="6" t="s">
        <v>16998</v>
      </c>
      <c r="F6604" s="6" t="s">
        <v>17032</v>
      </c>
      <c r="G6604" s="6" t="s">
        <v>16</v>
      </c>
      <c r="H6604" s="5">
        <v>1</v>
      </c>
      <c r="I6604" s="6" t="s">
        <v>17032</v>
      </c>
      <c r="J6604" s="5">
        <v>620</v>
      </c>
    </row>
    <row r="6605" s="2" customFormat="1" spans="1:10">
      <c r="A6605" s="6">
        <f>6603</f>
        <v>6603</v>
      </c>
      <c r="B6605" s="6" t="s">
        <v>17033</v>
      </c>
      <c r="C6605" s="6" t="s">
        <v>12</v>
      </c>
      <c r="D6605" s="6" t="s">
        <v>16132</v>
      </c>
      <c r="E6605" s="6" t="s">
        <v>16998</v>
      </c>
      <c r="F6605" s="6" t="s">
        <v>17034</v>
      </c>
      <c r="G6605" s="6" t="s">
        <v>16</v>
      </c>
      <c r="H6605" s="5">
        <v>3</v>
      </c>
      <c r="I6605" s="6" t="s">
        <v>17035</v>
      </c>
      <c r="J6605" s="5">
        <v>720</v>
      </c>
    </row>
    <row r="6606" s="2" customFormat="1" spans="1:10">
      <c r="A6606" s="6">
        <f>6604</f>
        <v>6604</v>
      </c>
      <c r="B6606" s="6" t="s">
        <v>17036</v>
      </c>
      <c r="C6606" s="6" t="s">
        <v>12</v>
      </c>
      <c r="D6606" s="6" t="s">
        <v>16132</v>
      </c>
      <c r="E6606" s="6" t="s">
        <v>16998</v>
      </c>
      <c r="F6606" s="6" t="s">
        <v>17037</v>
      </c>
      <c r="G6606" s="6" t="s">
        <v>16</v>
      </c>
      <c r="H6606" s="5">
        <v>2</v>
      </c>
      <c r="I6606" s="6" t="s">
        <v>17038</v>
      </c>
      <c r="J6606" s="5">
        <v>680</v>
      </c>
    </row>
    <row r="6607" s="2" customFormat="1" spans="1:10">
      <c r="A6607" s="6">
        <f>6605</f>
        <v>6605</v>
      </c>
      <c r="B6607" s="6" t="s">
        <v>17039</v>
      </c>
      <c r="C6607" s="6" t="s">
        <v>12</v>
      </c>
      <c r="D6607" s="6" t="s">
        <v>16132</v>
      </c>
      <c r="E6607" s="6" t="s">
        <v>16998</v>
      </c>
      <c r="F6607" s="6" t="s">
        <v>17040</v>
      </c>
      <c r="G6607" s="6" t="s">
        <v>16</v>
      </c>
      <c r="H6607" s="5">
        <v>2</v>
      </c>
      <c r="I6607" s="6" t="s">
        <v>17041</v>
      </c>
      <c r="J6607" s="5">
        <v>980</v>
      </c>
    </row>
    <row r="6608" s="2" customFormat="1" ht="27" spans="1:10">
      <c r="A6608" s="6">
        <f>6606</f>
        <v>6606</v>
      </c>
      <c r="B6608" s="6" t="s">
        <v>17042</v>
      </c>
      <c r="C6608" s="6" t="s">
        <v>12</v>
      </c>
      <c r="D6608" s="6" t="s">
        <v>16132</v>
      </c>
      <c r="E6608" s="6" t="s">
        <v>16998</v>
      </c>
      <c r="F6608" s="6" t="s">
        <v>17043</v>
      </c>
      <c r="G6608" s="6" t="s">
        <v>16</v>
      </c>
      <c r="H6608" s="5">
        <v>5</v>
      </c>
      <c r="I6608" s="6" t="s">
        <v>17044</v>
      </c>
      <c r="J6608" s="5">
        <v>870</v>
      </c>
    </row>
    <row r="6609" s="2" customFormat="1" spans="1:10">
      <c r="A6609" s="6">
        <f>6607</f>
        <v>6607</v>
      </c>
      <c r="B6609" s="6" t="s">
        <v>17045</v>
      </c>
      <c r="C6609" s="6" t="s">
        <v>12</v>
      </c>
      <c r="D6609" s="6" t="s">
        <v>16132</v>
      </c>
      <c r="E6609" s="6" t="s">
        <v>16998</v>
      </c>
      <c r="F6609" s="6" t="s">
        <v>17046</v>
      </c>
      <c r="G6609" s="6" t="s">
        <v>16</v>
      </c>
      <c r="H6609" s="5">
        <v>1</v>
      </c>
      <c r="I6609" s="6" t="s">
        <v>17046</v>
      </c>
      <c r="J6609" s="5">
        <v>220</v>
      </c>
    </row>
    <row r="6610" s="2" customFormat="1" spans="1:10">
      <c r="A6610" s="6">
        <f>6608</f>
        <v>6608</v>
      </c>
      <c r="B6610" s="6" t="s">
        <v>17047</v>
      </c>
      <c r="C6610" s="6" t="s">
        <v>12</v>
      </c>
      <c r="D6610" s="6" t="s">
        <v>16132</v>
      </c>
      <c r="E6610" s="6" t="s">
        <v>16998</v>
      </c>
      <c r="F6610" s="6" t="s">
        <v>17048</v>
      </c>
      <c r="G6610" s="6" t="s">
        <v>16</v>
      </c>
      <c r="H6610" s="5">
        <v>1</v>
      </c>
      <c r="I6610" s="6" t="s">
        <v>17048</v>
      </c>
      <c r="J6610" s="5">
        <v>220</v>
      </c>
    </row>
    <row r="6611" s="2" customFormat="1" ht="27" spans="1:10">
      <c r="A6611" s="6">
        <f>6609</f>
        <v>6609</v>
      </c>
      <c r="B6611" s="6" t="s">
        <v>17049</v>
      </c>
      <c r="C6611" s="6" t="s">
        <v>12</v>
      </c>
      <c r="D6611" s="6" t="s">
        <v>16132</v>
      </c>
      <c r="E6611" s="6" t="s">
        <v>16998</v>
      </c>
      <c r="F6611" s="6" t="s">
        <v>17050</v>
      </c>
      <c r="G6611" s="6" t="s">
        <v>16</v>
      </c>
      <c r="H6611" s="5">
        <v>4</v>
      </c>
      <c r="I6611" s="6" t="s">
        <v>17051</v>
      </c>
      <c r="J6611" s="5">
        <v>760</v>
      </c>
    </row>
    <row r="6612" s="2" customFormat="1" spans="1:10">
      <c r="A6612" s="6">
        <f>6610</f>
        <v>6610</v>
      </c>
      <c r="B6612" s="6" t="s">
        <v>17052</v>
      </c>
      <c r="C6612" s="6" t="s">
        <v>12</v>
      </c>
      <c r="D6612" s="6" t="s">
        <v>16132</v>
      </c>
      <c r="E6612" s="6" t="s">
        <v>16998</v>
      </c>
      <c r="F6612" s="6" t="s">
        <v>17053</v>
      </c>
      <c r="G6612" s="6" t="s">
        <v>16</v>
      </c>
      <c r="H6612" s="5">
        <v>1</v>
      </c>
      <c r="I6612" s="6" t="s">
        <v>17053</v>
      </c>
      <c r="J6612" s="5">
        <v>225</v>
      </c>
    </row>
    <row r="6613" s="2" customFormat="1" spans="1:10">
      <c r="A6613" s="6">
        <f>6611</f>
        <v>6611</v>
      </c>
      <c r="B6613" s="6" t="s">
        <v>17054</v>
      </c>
      <c r="C6613" s="6" t="s">
        <v>12</v>
      </c>
      <c r="D6613" s="6" t="s">
        <v>16132</v>
      </c>
      <c r="E6613" s="6" t="s">
        <v>16998</v>
      </c>
      <c r="F6613" s="6" t="s">
        <v>17055</v>
      </c>
      <c r="G6613" s="6" t="s">
        <v>16</v>
      </c>
      <c r="H6613" s="5">
        <v>1</v>
      </c>
      <c r="I6613" s="6" t="s">
        <v>17055</v>
      </c>
      <c r="J6613" s="5">
        <v>440</v>
      </c>
    </row>
    <row r="6614" s="2" customFormat="1" spans="1:10">
      <c r="A6614" s="6">
        <f>6612</f>
        <v>6612</v>
      </c>
      <c r="B6614" s="6" t="s">
        <v>17056</v>
      </c>
      <c r="C6614" s="6" t="s">
        <v>12</v>
      </c>
      <c r="D6614" s="6" t="s">
        <v>16132</v>
      </c>
      <c r="E6614" s="6" t="s">
        <v>16998</v>
      </c>
      <c r="F6614" s="6" t="s">
        <v>17057</v>
      </c>
      <c r="G6614" s="6" t="s">
        <v>16</v>
      </c>
      <c r="H6614" s="5">
        <v>1</v>
      </c>
      <c r="I6614" s="6" t="s">
        <v>17057</v>
      </c>
      <c r="J6614" s="5">
        <v>295</v>
      </c>
    </row>
    <row r="6615" s="2" customFormat="1" spans="1:10">
      <c r="A6615" s="6">
        <f>6613</f>
        <v>6613</v>
      </c>
      <c r="B6615" s="6" t="s">
        <v>17058</v>
      </c>
      <c r="C6615" s="6" t="s">
        <v>12</v>
      </c>
      <c r="D6615" s="6" t="s">
        <v>16132</v>
      </c>
      <c r="E6615" s="6" t="s">
        <v>16998</v>
      </c>
      <c r="F6615" s="6" t="s">
        <v>17059</v>
      </c>
      <c r="G6615" s="6" t="s">
        <v>16</v>
      </c>
      <c r="H6615" s="5">
        <v>1</v>
      </c>
      <c r="I6615" s="6" t="s">
        <v>17059</v>
      </c>
      <c r="J6615" s="5">
        <v>220</v>
      </c>
    </row>
    <row r="6616" s="2" customFormat="1" spans="1:10">
      <c r="A6616" s="6">
        <f>6614</f>
        <v>6614</v>
      </c>
      <c r="B6616" s="6" t="s">
        <v>17060</v>
      </c>
      <c r="C6616" s="6" t="s">
        <v>12</v>
      </c>
      <c r="D6616" s="6" t="s">
        <v>16132</v>
      </c>
      <c r="E6616" s="6" t="s">
        <v>16998</v>
      </c>
      <c r="F6616" s="6" t="s">
        <v>17061</v>
      </c>
      <c r="G6616" s="6" t="s">
        <v>16</v>
      </c>
      <c r="H6616" s="5">
        <v>2</v>
      </c>
      <c r="I6616" s="6" t="s">
        <v>17062</v>
      </c>
      <c r="J6616" s="5">
        <v>720</v>
      </c>
    </row>
    <row r="6617" s="2" customFormat="1" spans="1:10">
      <c r="A6617" s="6">
        <f>6615</f>
        <v>6615</v>
      </c>
      <c r="B6617" s="6" t="s">
        <v>17063</v>
      </c>
      <c r="C6617" s="6" t="s">
        <v>12</v>
      </c>
      <c r="D6617" s="6" t="s">
        <v>16132</v>
      </c>
      <c r="E6617" s="6" t="s">
        <v>16998</v>
      </c>
      <c r="F6617" s="6" t="s">
        <v>17064</v>
      </c>
      <c r="G6617" s="6" t="s">
        <v>16</v>
      </c>
      <c r="H6617" s="5">
        <v>2</v>
      </c>
      <c r="I6617" s="6" t="s">
        <v>17065</v>
      </c>
      <c r="J6617" s="5">
        <v>320</v>
      </c>
    </row>
    <row r="6618" s="2" customFormat="1" spans="1:10">
      <c r="A6618" s="6">
        <f>6616</f>
        <v>6616</v>
      </c>
      <c r="B6618" s="6" t="s">
        <v>17066</v>
      </c>
      <c r="C6618" s="6" t="s">
        <v>12</v>
      </c>
      <c r="D6618" s="6" t="s">
        <v>16132</v>
      </c>
      <c r="E6618" s="6" t="s">
        <v>16998</v>
      </c>
      <c r="F6618" s="6" t="s">
        <v>12691</v>
      </c>
      <c r="G6618" s="6" t="s">
        <v>16</v>
      </c>
      <c r="H6618" s="5">
        <v>1</v>
      </c>
      <c r="I6618" s="6" t="s">
        <v>12691</v>
      </c>
      <c r="J6618" s="5">
        <v>230</v>
      </c>
    </row>
    <row r="6619" s="2" customFormat="1" spans="1:10">
      <c r="A6619" s="6">
        <f>6617</f>
        <v>6617</v>
      </c>
      <c r="B6619" s="6" t="s">
        <v>17067</v>
      </c>
      <c r="C6619" s="6" t="s">
        <v>12</v>
      </c>
      <c r="D6619" s="6" t="s">
        <v>16132</v>
      </c>
      <c r="E6619" s="6" t="s">
        <v>16998</v>
      </c>
      <c r="F6619" s="6" t="s">
        <v>17068</v>
      </c>
      <c r="G6619" s="6" t="s">
        <v>16</v>
      </c>
      <c r="H6619" s="5">
        <v>1</v>
      </c>
      <c r="I6619" s="6" t="s">
        <v>17068</v>
      </c>
      <c r="J6619" s="5">
        <v>570</v>
      </c>
    </row>
    <row r="6620" s="2" customFormat="1" spans="1:10">
      <c r="A6620" s="6">
        <f>6618</f>
        <v>6618</v>
      </c>
      <c r="B6620" s="6" t="s">
        <v>17069</v>
      </c>
      <c r="C6620" s="6" t="s">
        <v>12</v>
      </c>
      <c r="D6620" s="6" t="s">
        <v>16132</v>
      </c>
      <c r="E6620" s="6" t="s">
        <v>16998</v>
      </c>
      <c r="F6620" s="6" t="s">
        <v>17070</v>
      </c>
      <c r="G6620" s="6" t="s">
        <v>16</v>
      </c>
      <c r="H6620" s="5">
        <v>2</v>
      </c>
      <c r="I6620" s="6" t="s">
        <v>17071</v>
      </c>
      <c r="J6620" s="5">
        <v>480</v>
      </c>
    </row>
    <row r="6621" s="2" customFormat="1" spans="1:10">
      <c r="A6621" s="6">
        <f>6619</f>
        <v>6619</v>
      </c>
      <c r="B6621" s="6" t="s">
        <v>17072</v>
      </c>
      <c r="C6621" s="6" t="s">
        <v>12</v>
      </c>
      <c r="D6621" s="6" t="s">
        <v>16132</v>
      </c>
      <c r="E6621" s="6" t="s">
        <v>16998</v>
      </c>
      <c r="F6621" s="6" t="s">
        <v>17073</v>
      </c>
      <c r="G6621" s="6" t="s">
        <v>16</v>
      </c>
      <c r="H6621" s="5">
        <v>1</v>
      </c>
      <c r="I6621" s="6" t="s">
        <v>17073</v>
      </c>
      <c r="J6621" s="5">
        <v>225</v>
      </c>
    </row>
    <row r="6622" s="2" customFormat="1" ht="27" spans="1:10">
      <c r="A6622" s="6">
        <f>6620</f>
        <v>6620</v>
      </c>
      <c r="B6622" s="6" t="s">
        <v>17074</v>
      </c>
      <c r="C6622" s="6" t="s">
        <v>12</v>
      </c>
      <c r="D6622" s="6" t="s">
        <v>16132</v>
      </c>
      <c r="E6622" s="6" t="s">
        <v>16998</v>
      </c>
      <c r="F6622" s="6" t="s">
        <v>17075</v>
      </c>
      <c r="G6622" s="6" t="s">
        <v>16</v>
      </c>
      <c r="H6622" s="5">
        <v>4</v>
      </c>
      <c r="I6622" s="6" t="s">
        <v>17076</v>
      </c>
      <c r="J6622" s="5">
        <v>440</v>
      </c>
    </row>
    <row r="6623" s="2" customFormat="1" spans="1:10">
      <c r="A6623" s="6">
        <f>6621</f>
        <v>6621</v>
      </c>
      <c r="B6623" s="6" t="s">
        <v>17077</v>
      </c>
      <c r="C6623" s="6" t="s">
        <v>12</v>
      </c>
      <c r="D6623" s="6" t="s">
        <v>16132</v>
      </c>
      <c r="E6623" s="6" t="s">
        <v>16998</v>
      </c>
      <c r="F6623" s="6" t="s">
        <v>17078</v>
      </c>
      <c r="G6623" s="6" t="s">
        <v>16</v>
      </c>
      <c r="H6623" s="5">
        <v>3</v>
      </c>
      <c r="I6623" s="6" t="s">
        <v>17079</v>
      </c>
      <c r="J6623" s="5">
        <v>720</v>
      </c>
    </row>
    <row r="6624" s="2" customFormat="1" spans="1:10">
      <c r="A6624" s="6">
        <f>6622</f>
        <v>6622</v>
      </c>
      <c r="B6624" s="6" t="s">
        <v>17080</v>
      </c>
      <c r="C6624" s="6" t="s">
        <v>12</v>
      </c>
      <c r="D6624" s="6" t="s">
        <v>16132</v>
      </c>
      <c r="E6624" s="6" t="s">
        <v>16998</v>
      </c>
      <c r="F6624" s="6" t="s">
        <v>1952</v>
      </c>
      <c r="G6624" s="6" t="s">
        <v>16</v>
      </c>
      <c r="H6624" s="5">
        <v>1</v>
      </c>
      <c r="I6624" s="6" t="s">
        <v>1952</v>
      </c>
      <c r="J6624" s="5">
        <v>260</v>
      </c>
    </row>
    <row r="6625" s="2" customFormat="1" ht="27" spans="1:10">
      <c r="A6625" s="6">
        <f>6623</f>
        <v>6623</v>
      </c>
      <c r="B6625" s="6" t="s">
        <v>17081</v>
      </c>
      <c r="C6625" s="6" t="s">
        <v>12</v>
      </c>
      <c r="D6625" s="6" t="s">
        <v>16132</v>
      </c>
      <c r="E6625" s="6" t="s">
        <v>16998</v>
      </c>
      <c r="F6625" s="6" t="s">
        <v>17082</v>
      </c>
      <c r="G6625" s="6" t="s">
        <v>16</v>
      </c>
      <c r="H6625" s="5">
        <v>5</v>
      </c>
      <c r="I6625" s="6" t="s">
        <v>17083</v>
      </c>
      <c r="J6625" s="5">
        <v>1100</v>
      </c>
    </row>
    <row r="6626" s="2" customFormat="1" spans="1:10">
      <c r="A6626" s="6">
        <f>6624</f>
        <v>6624</v>
      </c>
      <c r="B6626" s="6" t="s">
        <v>17084</v>
      </c>
      <c r="C6626" s="6" t="s">
        <v>12</v>
      </c>
      <c r="D6626" s="6" t="s">
        <v>16132</v>
      </c>
      <c r="E6626" s="6" t="s">
        <v>16998</v>
      </c>
      <c r="F6626" s="6" t="s">
        <v>17085</v>
      </c>
      <c r="G6626" s="6" t="s">
        <v>16</v>
      </c>
      <c r="H6626" s="5">
        <v>2</v>
      </c>
      <c r="I6626" s="6" t="s">
        <v>17086</v>
      </c>
      <c r="J6626" s="5">
        <v>720</v>
      </c>
    </row>
    <row r="6627" s="2" customFormat="1" spans="1:10">
      <c r="A6627" s="6">
        <f>6625</f>
        <v>6625</v>
      </c>
      <c r="B6627" s="6" t="s">
        <v>17087</v>
      </c>
      <c r="C6627" s="6" t="s">
        <v>12</v>
      </c>
      <c r="D6627" s="6" t="s">
        <v>16132</v>
      </c>
      <c r="E6627" s="6" t="s">
        <v>16998</v>
      </c>
      <c r="F6627" s="6" t="s">
        <v>17088</v>
      </c>
      <c r="G6627" s="6" t="s">
        <v>16</v>
      </c>
      <c r="H6627" s="5">
        <v>1</v>
      </c>
      <c r="I6627" s="6" t="s">
        <v>17088</v>
      </c>
      <c r="J6627" s="5">
        <v>243</v>
      </c>
    </row>
    <row r="6628" s="2" customFormat="1" spans="1:10">
      <c r="A6628" s="6">
        <f>6626</f>
        <v>6626</v>
      </c>
      <c r="B6628" s="6" t="s">
        <v>17089</v>
      </c>
      <c r="C6628" s="6" t="s">
        <v>12</v>
      </c>
      <c r="D6628" s="6" t="s">
        <v>16132</v>
      </c>
      <c r="E6628" s="6" t="s">
        <v>16998</v>
      </c>
      <c r="F6628" s="6" t="s">
        <v>17090</v>
      </c>
      <c r="G6628" s="6" t="s">
        <v>16</v>
      </c>
      <c r="H6628" s="5">
        <v>1</v>
      </c>
      <c r="I6628" s="6" t="s">
        <v>17090</v>
      </c>
      <c r="J6628" s="5">
        <v>275</v>
      </c>
    </row>
    <row r="6629" s="2" customFormat="1" ht="40.5" spans="1:10">
      <c r="A6629" s="6">
        <f>6627</f>
        <v>6627</v>
      </c>
      <c r="B6629" s="6" t="s">
        <v>17091</v>
      </c>
      <c r="C6629" s="6" t="s">
        <v>12</v>
      </c>
      <c r="D6629" s="6" t="s">
        <v>16132</v>
      </c>
      <c r="E6629" s="6" t="s">
        <v>16998</v>
      </c>
      <c r="F6629" s="6" t="s">
        <v>17092</v>
      </c>
      <c r="G6629" s="6" t="s">
        <v>16</v>
      </c>
      <c r="H6629" s="5">
        <v>8</v>
      </c>
      <c r="I6629" s="6" t="s">
        <v>17093</v>
      </c>
      <c r="J6629" s="5">
        <v>1320</v>
      </c>
    </row>
    <row r="6630" s="2" customFormat="1" spans="1:10">
      <c r="A6630" s="6">
        <f>6628</f>
        <v>6628</v>
      </c>
      <c r="B6630" s="6" t="s">
        <v>17094</v>
      </c>
      <c r="C6630" s="6" t="s">
        <v>12</v>
      </c>
      <c r="D6630" s="6" t="s">
        <v>16132</v>
      </c>
      <c r="E6630" s="6" t="s">
        <v>16998</v>
      </c>
      <c r="F6630" s="6" t="s">
        <v>17095</v>
      </c>
      <c r="G6630" s="6" t="s">
        <v>16</v>
      </c>
      <c r="H6630" s="5">
        <v>1</v>
      </c>
      <c r="I6630" s="6" t="s">
        <v>17095</v>
      </c>
      <c r="J6630" s="5">
        <v>250</v>
      </c>
    </row>
    <row r="6631" s="2" customFormat="1" spans="1:10">
      <c r="A6631" s="6">
        <f>6629</f>
        <v>6629</v>
      </c>
      <c r="B6631" s="6" t="s">
        <v>17096</v>
      </c>
      <c r="C6631" s="6" t="s">
        <v>12</v>
      </c>
      <c r="D6631" s="6" t="s">
        <v>16132</v>
      </c>
      <c r="E6631" s="6" t="s">
        <v>16998</v>
      </c>
      <c r="F6631" s="6" t="s">
        <v>17097</v>
      </c>
      <c r="G6631" s="6" t="s">
        <v>16</v>
      </c>
      <c r="H6631" s="5">
        <v>1</v>
      </c>
      <c r="I6631" s="6" t="s">
        <v>17097</v>
      </c>
      <c r="J6631" s="5">
        <v>193</v>
      </c>
    </row>
    <row r="6632" s="2" customFormat="1" ht="27" spans="1:10">
      <c r="A6632" s="6">
        <f>6630</f>
        <v>6630</v>
      </c>
      <c r="B6632" s="6" t="s">
        <v>17098</v>
      </c>
      <c r="C6632" s="6" t="s">
        <v>12</v>
      </c>
      <c r="D6632" s="6" t="s">
        <v>16132</v>
      </c>
      <c r="E6632" s="6" t="s">
        <v>16998</v>
      </c>
      <c r="F6632" s="6" t="s">
        <v>17099</v>
      </c>
      <c r="G6632" s="6" t="s">
        <v>16</v>
      </c>
      <c r="H6632" s="5">
        <v>4</v>
      </c>
      <c r="I6632" s="6" t="s">
        <v>17100</v>
      </c>
      <c r="J6632" s="5">
        <v>660</v>
      </c>
    </row>
    <row r="6633" s="2" customFormat="1" spans="1:10">
      <c r="A6633" s="6">
        <f>6631</f>
        <v>6631</v>
      </c>
      <c r="B6633" s="6" t="s">
        <v>17101</v>
      </c>
      <c r="C6633" s="6" t="s">
        <v>12</v>
      </c>
      <c r="D6633" s="6" t="s">
        <v>16132</v>
      </c>
      <c r="E6633" s="6" t="s">
        <v>16998</v>
      </c>
      <c r="F6633" s="6" t="s">
        <v>17102</v>
      </c>
      <c r="G6633" s="6" t="s">
        <v>16</v>
      </c>
      <c r="H6633" s="5">
        <v>1</v>
      </c>
      <c r="I6633" s="6" t="s">
        <v>17102</v>
      </c>
      <c r="J6633" s="5">
        <v>220</v>
      </c>
    </row>
    <row r="6634" s="2" customFormat="1" spans="1:10">
      <c r="A6634" s="6">
        <f>6632</f>
        <v>6632</v>
      </c>
      <c r="B6634" s="6" t="s">
        <v>17103</v>
      </c>
      <c r="C6634" s="6" t="s">
        <v>12</v>
      </c>
      <c r="D6634" s="6" t="s">
        <v>16132</v>
      </c>
      <c r="E6634" s="6" t="s">
        <v>16998</v>
      </c>
      <c r="F6634" s="6" t="s">
        <v>17104</v>
      </c>
      <c r="G6634" s="6" t="s">
        <v>16</v>
      </c>
      <c r="H6634" s="5">
        <v>1</v>
      </c>
      <c r="I6634" s="6" t="s">
        <v>17104</v>
      </c>
      <c r="J6634" s="5">
        <v>573</v>
      </c>
    </row>
    <row r="6635" s="2" customFormat="1" ht="27" spans="1:10">
      <c r="A6635" s="6">
        <f>6633</f>
        <v>6633</v>
      </c>
      <c r="B6635" s="6" t="s">
        <v>17105</v>
      </c>
      <c r="C6635" s="6" t="s">
        <v>12</v>
      </c>
      <c r="D6635" s="6" t="s">
        <v>16132</v>
      </c>
      <c r="E6635" s="6" t="s">
        <v>16998</v>
      </c>
      <c r="F6635" s="6" t="s">
        <v>17106</v>
      </c>
      <c r="G6635" s="6" t="s">
        <v>16</v>
      </c>
      <c r="H6635" s="5">
        <v>4</v>
      </c>
      <c r="I6635" s="6" t="s">
        <v>17107</v>
      </c>
      <c r="J6635" s="5">
        <v>848</v>
      </c>
    </row>
    <row r="6636" s="2" customFormat="1" spans="1:10">
      <c r="A6636" s="6">
        <f>6634</f>
        <v>6634</v>
      </c>
      <c r="B6636" s="6" t="s">
        <v>17108</v>
      </c>
      <c r="C6636" s="6" t="s">
        <v>12</v>
      </c>
      <c r="D6636" s="6" t="s">
        <v>16132</v>
      </c>
      <c r="E6636" s="6" t="s">
        <v>16998</v>
      </c>
      <c r="F6636" s="6" t="s">
        <v>17109</v>
      </c>
      <c r="G6636" s="6" t="s">
        <v>16</v>
      </c>
      <c r="H6636" s="5">
        <v>2</v>
      </c>
      <c r="I6636" s="6" t="s">
        <v>17110</v>
      </c>
      <c r="J6636" s="5">
        <v>580</v>
      </c>
    </row>
    <row r="6637" s="2" customFormat="1" spans="1:10">
      <c r="A6637" s="6">
        <f>6635</f>
        <v>6635</v>
      </c>
      <c r="B6637" s="6" t="s">
        <v>17111</v>
      </c>
      <c r="C6637" s="6" t="s">
        <v>12</v>
      </c>
      <c r="D6637" s="6" t="s">
        <v>16132</v>
      </c>
      <c r="E6637" s="6" t="s">
        <v>16998</v>
      </c>
      <c r="F6637" s="6" t="s">
        <v>17112</v>
      </c>
      <c r="G6637" s="6" t="s">
        <v>16</v>
      </c>
      <c r="H6637" s="5">
        <v>2</v>
      </c>
      <c r="I6637" s="6" t="s">
        <v>17113</v>
      </c>
      <c r="J6637" s="5">
        <v>920</v>
      </c>
    </row>
    <row r="6638" s="2" customFormat="1" spans="1:10">
      <c r="A6638" s="6">
        <f>6636</f>
        <v>6636</v>
      </c>
      <c r="B6638" s="6" t="s">
        <v>17114</v>
      </c>
      <c r="C6638" s="6" t="s">
        <v>12</v>
      </c>
      <c r="D6638" s="6" t="s">
        <v>16132</v>
      </c>
      <c r="E6638" s="6" t="s">
        <v>16998</v>
      </c>
      <c r="F6638" s="6" t="s">
        <v>17115</v>
      </c>
      <c r="G6638" s="6" t="s">
        <v>16</v>
      </c>
      <c r="H6638" s="5">
        <v>1</v>
      </c>
      <c r="I6638" s="6" t="s">
        <v>17115</v>
      </c>
      <c r="J6638" s="5">
        <v>225</v>
      </c>
    </row>
    <row r="6639" s="2" customFormat="1" spans="1:10">
      <c r="A6639" s="6">
        <f>6637</f>
        <v>6637</v>
      </c>
      <c r="B6639" s="6" t="s">
        <v>17116</v>
      </c>
      <c r="C6639" s="6" t="s">
        <v>12</v>
      </c>
      <c r="D6639" s="6" t="s">
        <v>16132</v>
      </c>
      <c r="E6639" s="6" t="s">
        <v>16998</v>
      </c>
      <c r="F6639" s="6" t="s">
        <v>17117</v>
      </c>
      <c r="G6639" s="6" t="s">
        <v>16</v>
      </c>
      <c r="H6639" s="5">
        <v>1</v>
      </c>
      <c r="I6639" s="6" t="s">
        <v>17117</v>
      </c>
      <c r="J6639" s="5">
        <v>220</v>
      </c>
    </row>
    <row r="6640" s="2" customFormat="1" spans="1:10">
      <c r="A6640" s="6">
        <f>6638</f>
        <v>6638</v>
      </c>
      <c r="B6640" s="6" t="s">
        <v>17118</v>
      </c>
      <c r="C6640" s="6" t="s">
        <v>12</v>
      </c>
      <c r="D6640" s="6" t="s">
        <v>16132</v>
      </c>
      <c r="E6640" s="6" t="s">
        <v>16998</v>
      </c>
      <c r="F6640" s="6" t="s">
        <v>17119</v>
      </c>
      <c r="G6640" s="6" t="s">
        <v>16</v>
      </c>
      <c r="H6640" s="5">
        <v>2</v>
      </c>
      <c r="I6640" s="6" t="s">
        <v>17120</v>
      </c>
      <c r="J6640" s="5">
        <v>270</v>
      </c>
    </row>
    <row r="6641" s="2" customFormat="1" spans="1:10">
      <c r="A6641" s="6">
        <f>6639</f>
        <v>6639</v>
      </c>
      <c r="B6641" s="6" t="s">
        <v>17121</v>
      </c>
      <c r="C6641" s="6" t="s">
        <v>12</v>
      </c>
      <c r="D6641" s="6" t="s">
        <v>16132</v>
      </c>
      <c r="E6641" s="6" t="s">
        <v>16998</v>
      </c>
      <c r="F6641" s="6" t="s">
        <v>17122</v>
      </c>
      <c r="G6641" s="6" t="s">
        <v>16</v>
      </c>
      <c r="H6641" s="5">
        <v>1</v>
      </c>
      <c r="I6641" s="6" t="s">
        <v>17122</v>
      </c>
      <c r="J6641" s="5">
        <v>315</v>
      </c>
    </row>
    <row r="6642" s="2" customFormat="1" ht="27" spans="1:10">
      <c r="A6642" s="6">
        <f>6640</f>
        <v>6640</v>
      </c>
      <c r="B6642" s="6" t="s">
        <v>17123</v>
      </c>
      <c r="C6642" s="6" t="s">
        <v>12</v>
      </c>
      <c r="D6642" s="6" t="s">
        <v>16132</v>
      </c>
      <c r="E6642" s="6" t="s">
        <v>16998</v>
      </c>
      <c r="F6642" s="6" t="s">
        <v>17124</v>
      </c>
      <c r="G6642" s="6" t="s">
        <v>16</v>
      </c>
      <c r="H6642" s="5">
        <v>5</v>
      </c>
      <c r="I6642" s="6" t="s">
        <v>17125</v>
      </c>
      <c r="J6642" s="5">
        <v>2865</v>
      </c>
    </row>
    <row r="6643" s="2" customFormat="1" ht="40.5" spans="1:10">
      <c r="A6643" s="6">
        <f>6641</f>
        <v>6641</v>
      </c>
      <c r="B6643" s="6" t="s">
        <v>17126</v>
      </c>
      <c r="C6643" s="6" t="s">
        <v>12</v>
      </c>
      <c r="D6643" s="6" t="s">
        <v>16132</v>
      </c>
      <c r="E6643" s="6" t="s">
        <v>16998</v>
      </c>
      <c r="F6643" s="6" t="s">
        <v>17127</v>
      </c>
      <c r="G6643" s="6" t="s">
        <v>16</v>
      </c>
      <c r="H6643" s="5">
        <v>8</v>
      </c>
      <c r="I6643" s="6" t="s">
        <v>17128</v>
      </c>
      <c r="J6643" s="5">
        <v>2020</v>
      </c>
    </row>
    <row r="6644" s="2" customFormat="1" ht="27" spans="1:10">
      <c r="A6644" s="6">
        <f>6642</f>
        <v>6642</v>
      </c>
      <c r="B6644" s="6" t="s">
        <v>17129</v>
      </c>
      <c r="C6644" s="6" t="s">
        <v>12</v>
      </c>
      <c r="D6644" s="6" t="s">
        <v>16132</v>
      </c>
      <c r="E6644" s="6" t="s">
        <v>16998</v>
      </c>
      <c r="F6644" s="6" t="s">
        <v>17130</v>
      </c>
      <c r="G6644" s="6" t="s">
        <v>16</v>
      </c>
      <c r="H6644" s="5">
        <v>4</v>
      </c>
      <c r="I6644" s="6" t="s">
        <v>17131</v>
      </c>
      <c r="J6644" s="5">
        <v>1960</v>
      </c>
    </row>
    <row r="6645" s="2" customFormat="1" ht="27" spans="1:10">
      <c r="A6645" s="6">
        <f>6643</f>
        <v>6643</v>
      </c>
      <c r="B6645" s="6" t="s">
        <v>17132</v>
      </c>
      <c r="C6645" s="6" t="s">
        <v>12</v>
      </c>
      <c r="D6645" s="6" t="s">
        <v>16132</v>
      </c>
      <c r="E6645" s="6" t="s">
        <v>16998</v>
      </c>
      <c r="F6645" s="6" t="s">
        <v>17133</v>
      </c>
      <c r="G6645" s="6" t="s">
        <v>16</v>
      </c>
      <c r="H6645" s="5">
        <v>5</v>
      </c>
      <c r="I6645" s="6" t="s">
        <v>17134</v>
      </c>
      <c r="J6645" s="5">
        <v>700</v>
      </c>
    </row>
    <row r="6646" s="2" customFormat="1" spans="1:10">
      <c r="A6646" s="6">
        <f>6644</f>
        <v>6644</v>
      </c>
      <c r="B6646" s="6" t="s">
        <v>17135</v>
      </c>
      <c r="C6646" s="6" t="s">
        <v>12</v>
      </c>
      <c r="D6646" s="6" t="s">
        <v>16132</v>
      </c>
      <c r="E6646" s="6" t="s">
        <v>16998</v>
      </c>
      <c r="F6646" s="6" t="s">
        <v>17136</v>
      </c>
      <c r="G6646" s="6" t="s">
        <v>16</v>
      </c>
      <c r="H6646" s="5">
        <v>1</v>
      </c>
      <c r="I6646" s="6" t="s">
        <v>17136</v>
      </c>
      <c r="J6646" s="5">
        <v>220</v>
      </c>
    </row>
    <row r="6647" s="2" customFormat="1" spans="1:10">
      <c r="A6647" s="6">
        <f>6645</f>
        <v>6645</v>
      </c>
      <c r="B6647" s="6" t="s">
        <v>17137</v>
      </c>
      <c r="C6647" s="6" t="s">
        <v>12</v>
      </c>
      <c r="D6647" s="6" t="s">
        <v>16132</v>
      </c>
      <c r="E6647" s="6" t="s">
        <v>16998</v>
      </c>
      <c r="F6647" s="6" t="s">
        <v>17138</v>
      </c>
      <c r="G6647" s="6" t="s">
        <v>16</v>
      </c>
      <c r="H6647" s="5">
        <v>3</v>
      </c>
      <c r="I6647" s="6" t="s">
        <v>17139</v>
      </c>
      <c r="J6647" s="5">
        <v>1020</v>
      </c>
    </row>
    <row r="6648" s="2" customFormat="1" spans="1:10">
      <c r="A6648" s="6">
        <f>6646</f>
        <v>6646</v>
      </c>
      <c r="B6648" s="6" t="s">
        <v>17140</v>
      </c>
      <c r="C6648" s="6" t="s">
        <v>12</v>
      </c>
      <c r="D6648" s="6" t="s">
        <v>16132</v>
      </c>
      <c r="E6648" s="6" t="s">
        <v>16998</v>
      </c>
      <c r="F6648" s="6" t="s">
        <v>16785</v>
      </c>
      <c r="G6648" s="6" t="s">
        <v>16</v>
      </c>
      <c r="H6648" s="5">
        <v>1</v>
      </c>
      <c r="I6648" s="6" t="s">
        <v>16785</v>
      </c>
      <c r="J6648" s="5">
        <v>225</v>
      </c>
    </row>
    <row r="6649" s="2" customFormat="1" spans="1:10">
      <c r="A6649" s="6">
        <f>6647</f>
        <v>6647</v>
      </c>
      <c r="B6649" s="6" t="s">
        <v>17141</v>
      </c>
      <c r="C6649" s="6" t="s">
        <v>12</v>
      </c>
      <c r="D6649" s="6" t="s">
        <v>16132</v>
      </c>
      <c r="E6649" s="6" t="s">
        <v>16998</v>
      </c>
      <c r="F6649" s="6" t="s">
        <v>17142</v>
      </c>
      <c r="G6649" s="6" t="s">
        <v>16</v>
      </c>
      <c r="H6649" s="5">
        <v>3</v>
      </c>
      <c r="I6649" s="6" t="s">
        <v>17143</v>
      </c>
      <c r="J6649" s="5">
        <v>680</v>
      </c>
    </row>
    <row r="6650" s="2" customFormat="1" spans="1:10">
      <c r="A6650" s="6">
        <f>6648</f>
        <v>6648</v>
      </c>
      <c r="B6650" s="6" t="s">
        <v>17144</v>
      </c>
      <c r="C6650" s="6" t="s">
        <v>12</v>
      </c>
      <c r="D6650" s="6" t="s">
        <v>16132</v>
      </c>
      <c r="E6650" s="6" t="s">
        <v>16998</v>
      </c>
      <c r="F6650" s="6" t="s">
        <v>17145</v>
      </c>
      <c r="G6650" s="6" t="s">
        <v>16</v>
      </c>
      <c r="H6650" s="5">
        <v>3</v>
      </c>
      <c r="I6650" s="6" t="s">
        <v>17146</v>
      </c>
      <c r="J6650" s="5">
        <v>1020</v>
      </c>
    </row>
    <row r="6651" s="2" customFormat="1" spans="1:10">
      <c r="A6651" s="6">
        <f>6649</f>
        <v>6649</v>
      </c>
      <c r="B6651" s="6" t="s">
        <v>17147</v>
      </c>
      <c r="C6651" s="6" t="s">
        <v>12</v>
      </c>
      <c r="D6651" s="6" t="s">
        <v>16132</v>
      </c>
      <c r="E6651" s="6" t="s">
        <v>16998</v>
      </c>
      <c r="F6651" s="6" t="s">
        <v>17148</v>
      </c>
      <c r="G6651" s="6" t="s">
        <v>16</v>
      </c>
      <c r="H6651" s="5">
        <v>1</v>
      </c>
      <c r="I6651" s="6" t="s">
        <v>17148</v>
      </c>
      <c r="J6651" s="5">
        <v>220</v>
      </c>
    </row>
    <row r="6652" s="2" customFormat="1" spans="1:10">
      <c r="A6652" s="6">
        <f>6650</f>
        <v>6650</v>
      </c>
      <c r="B6652" s="6" t="s">
        <v>17149</v>
      </c>
      <c r="C6652" s="6" t="s">
        <v>12</v>
      </c>
      <c r="D6652" s="6" t="s">
        <v>16132</v>
      </c>
      <c r="E6652" s="6" t="s">
        <v>16998</v>
      </c>
      <c r="F6652" s="6" t="s">
        <v>17150</v>
      </c>
      <c r="G6652" s="6" t="s">
        <v>16</v>
      </c>
      <c r="H6652" s="5">
        <v>2</v>
      </c>
      <c r="I6652" s="6" t="s">
        <v>17151</v>
      </c>
      <c r="J6652" s="5">
        <v>570</v>
      </c>
    </row>
    <row r="6653" s="2" customFormat="1" spans="1:10">
      <c r="A6653" s="6">
        <f>6651</f>
        <v>6651</v>
      </c>
      <c r="B6653" s="6" t="s">
        <v>17152</v>
      </c>
      <c r="C6653" s="6" t="s">
        <v>12</v>
      </c>
      <c r="D6653" s="6" t="s">
        <v>16132</v>
      </c>
      <c r="E6653" s="6" t="s">
        <v>16998</v>
      </c>
      <c r="F6653" s="6" t="s">
        <v>17153</v>
      </c>
      <c r="G6653" s="6" t="s">
        <v>16</v>
      </c>
      <c r="H6653" s="5">
        <v>1</v>
      </c>
      <c r="I6653" s="6" t="s">
        <v>17153</v>
      </c>
      <c r="J6653" s="5">
        <v>220</v>
      </c>
    </row>
    <row r="6654" s="2" customFormat="1" spans="1:10">
      <c r="A6654" s="6">
        <f>6652</f>
        <v>6652</v>
      </c>
      <c r="B6654" s="6" t="s">
        <v>17154</v>
      </c>
      <c r="C6654" s="6" t="s">
        <v>12</v>
      </c>
      <c r="D6654" s="6" t="s">
        <v>16132</v>
      </c>
      <c r="E6654" s="6" t="s">
        <v>16998</v>
      </c>
      <c r="F6654" s="6" t="s">
        <v>17155</v>
      </c>
      <c r="G6654" s="6" t="s">
        <v>16</v>
      </c>
      <c r="H6654" s="5">
        <v>3</v>
      </c>
      <c r="I6654" s="6" t="s">
        <v>17156</v>
      </c>
      <c r="J6654" s="5">
        <v>758</v>
      </c>
    </row>
    <row r="6655" s="2" customFormat="1" ht="27" spans="1:10">
      <c r="A6655" s="6">
        <f>6653</f>
        <v>6653</v>
      </c>
      <c r="B6655" s="6" t="s">
        <v>17157</v>
      </c>
      <c r="C6655" s="6" t="s">
        <v>12</v>
      </c>
      <c r="D6655" s="6" t="s">
        <v>16132</v>
      </c>
      <c r="E6655" s="6" t="s">
        <v>16998</v>
      </c>
      <c r="F6655" s="6" t="s">
        <v>17158</v>
      </c>
      <c r="G6655" s="6" t="s">
        <v>16</v>
      </c>
      <c r="H6655" s="5">
        <v>6</v>
      </c>
      <c r="I6655" s="6" t="s">
        <v>17159</v>
      </c>
      <c r="J6655" s="5">
        <v>1340</v>
      </c>
    </row>
    <row r="6656" s="2" customFormat="1" spans="1:10">
      <c r="A6656" s="6">
        <f>6654</f>
        <v>6654</v>
      </c>
      <c r="B6656" s="6" t="s">
        <v>17160</v>
      </c>
      <c r="C6656" s="6" t="s">
        <v>12</v>
      </c>
      <c r="D6656" s="6" t="s">
        <v>16132</v>
      </c>
      <c r="E6656" s="6" t="s">
        <v>16998</v>
      </c>
      <c r="F6656" s="6" t="s">
        <v>17161</v>
      </c>
      <c r="G6656" s="6" t="s">
        <v>16</v>
      </c>
      <c r="H6656" s="5">
        <v>1</v>
      </c>
      <c r="I6656" s="6" t="s">
        <v>17161</v>
      </c>
      <c r="J6656" s="5">
        <v>260</v>
      </c>
    </row>
    <row r="6657" s="2" customFormat="1" spans="1:10">
      <c r="A6657" s="6">
        <f>6655</f>
        <v>6655</v>
      </c>
      <c r="B6657" s="6" t="s">
        <v>17162</v>
      </c>
      <c r="C6657" s="6" t="s">
        <v>12</v>
      </c>
      <c r="D6657" s="6" t="s">
        <v>16132</v>
      </c>
      <c r="E6657" s="6" t="s">
        <v>16998</v>
      </c>
      <c r="F6657" s="6" t="s">
        <v>17163</v>
      </c>
      <c r="G6657" s="6" t="s">
        <v>16</v>
      </c>
      <c r="H6657" s="5">
        <v>1</v>
      </c>
      <c r="I6657" s="6" t="s">
        <v>17163</v>
      </c>
      <c r="J6657" s="5">
        <v>220</v>
      </c>
    </row>
    <row r="6658" s="2" customFormat="1" ht="27" spans="1:10">
      <c r="A6658" s="6">
        <f>6656</f>
        <v>6656</v>
      </c>
      <c r="B6658" s="6" t="s">
        <v>17164</v>
      </c>
      <c r="C6658" s="6" t="s">
        <v>12</v>
      </c>
      <c r="D6658" s="6" t="s">
        <v>16132</v>
      </c>
      <c r="E6658" s="6" t="s">
        <v>16998</v>
      </c>
      <c r="F6658" s="6" t="s">
        <v>17165</v>
      </c>
      <c r="G6658" s="6" t="s">
        <v>16</v>
      </c>
      <c r="H6658" s="5">
        <v>4</v>
      </c>
      <c r="I6658" s="6" t="s">
        <v>17166</v>
      </c>
      <c r="J6658" s="5">
        <v>796</v>
      </c>
    </row>
    <row r="6659" s="2" customFormat="1" ht="40.5" spans="1:10">
      <c r="A6659" s="6">
        <f>6657</f>
        <v>6657</v>
      </c>
      <c r="B6659" s="6" t="s">
        <v>17167</v>
      </c>
      <c r="C6659" s="6" t="s">
        <v>12</v>
      </c>
      <c r="D6659" s="6" t="s">
        <v>16132</v>
      </c>
      <c r="E6659" s="6" t="s">
        <v>16998</v>
      </c>
      <c r="F6659" s="6" t="s">
        <v>17168</v>
      </c>
      <c r="G6659" s="6" t="s">
        <v>16</v>
      </c>
      <c r="H6659" s="5">
        <v>7</v>
      </c>
      <c r="I6659" s="6" t="s">
        <v>17169</v>
      </c>
      <c r="J6659" s="5">
        <v>3430</v>
      </c>
    </row>
    <row r="6660" s="2" customFormat="1" spans="1:10">
      <c r="A6660" s="6">
        <f>6658</f>
        <v>6658</v>
      </c>
      <c r="B6660" s="6" t="s">
        <v>17170</v>
      </c>
      <c r="C6660" s="6" t="s">
        <v>12</v>
      </c>
      <c r="D6660" s="6" t="s">
        <v>16132</v>
      </c>
      <c r="E6660" s="6" t="s">
        <v>16998</v>
      </c>
      <c r="F6660" s="6" t="s">
        <v>17171</v>
      </c>
      <c r="G6660" s="6" t="s">
        <v>16</v>
      </c>
      <c r="H6660" s="5">
        <v>3</v>
      </c>
      <c r="I6660" s="6" t="s">
        <v>17172</v>
      </c>
      <c r="J6660" s="5">
        <v>1470</v>
      </c>
    </row>
    <row r="6661" s="2" customFormat="1" spans="1:10">
      <c r="A6661" s="6">
        <f>6659</f>
        <v>6659</v>
      </c>
      <c r="B6661" s="6" t="s">
        <v>17173</v>
      </c>
      <c r="C6661" s="6" t="s">
        <v>12</v>
      </c>
      <c r="D6661" s="6" t="s">
        <v>16132</v>
      </c>
      <c r="E6661" s="6" t="s">
        <v>16998</v>
      </c>
      <c r="F6661" s="6" t="s">
        <v>17174</v>
      </c>
      <c r="G6661" s="6" t="s">
        <v>16</v>
      </c>
      <c r="H6661" s="5">
        <v>1</v>
      </c>
      <c r="I6661" s="6" t="s">
        <v>17174</v>
      </c>
      <c r="J6661" s="5">
        <v>220</v>
      </c>
    </row>
    <row r="6662" s="2" customFormat="1" ht="27" spans="1:10">
      <c r="A6662" s="6">
        <f>6660</f>
        <v>6660</v>
      </c>
      <c r="B6662" s="6" t="s">
        <v>17175</v>
      </c>
      <c r="C6662" s="6" t="s">
        <v>12</v>
      </c>
      <c r="D6662" s="6" t="s">
        <v>16132</v>
      </c>
      <c r="E6662" s="6" t="s">
        <v>16998</v>
      </c>
      <c r="F6662" s="6" t="s">
        <v>17176</v>
      </c>
      <c r="G6662" s="6" t="s">
        <v>16</v>
      </c>
      <c r="H6662" s="5">
        <v>4</v>
      </c>
      <c r="I6662" s="6" t="s">
        <v>17177</v>
      </c>
      <c r="J6662" s="5">
        <v>1140</v>
      </c>
    </row>
    <row r="6663" s="2" customFormat="1" spans="1:10">
      <c r="A6663" s="6">
        <f>6661</f>
        <v>6661</v>
      </c>
      <c r="B6663" s="6" t="s">
        <v>17178</v>
      </c>
      <c r="C6663" s="6" t="s">
        <v>12</v>
      </c>
      <c r="D6663" s="6" t="s">
        <v>16132</v>
      </c>
      <c r="E6663" s="6" t="s">
        <v>16998</v>
      </c>
      <c r="F6663" s="6" t="s">
        <v>17179</v>
      </c>
      <c r="G6663" s="6" t="s">
        <v>16</v>
      </c>
      <c r="H6663" s="5">
        <v>1</v>
      </c>
      <c r="I6663" s="6" t="s">
        <v>17179</v>
      </c>
      <c r="J6663" s="5">
        <v>275</v>
      </c>
    </row>
    <row r="6664" s="2" customFormat="1" ht="27" spans="1:10">
      <c r="A6664" s="6">
        <f>6662</f>
        <v>6662</v>
      </c>
      <c r="B6664" s="6" t="s">
        <v>17180</v>
      </c>
      <c r="C6664" s="6" t="s">
        <v>12</v>
      </c>
      <c r="D6664" s="6" t="s">
        <v>16132</v>
      </c>
      <c r="E6664" s="6" t="s">
        <v>16998</v>
      </c>
      <c r="F6664" s="6" t="s">
        <v>17181</v>
      </c>
      <c r="G6664" s="6" t="s">
        <v>16</v>
      </c>
      <c r="H6664" s="5">
        <v>4</v>
      </c>
      <c r="I6664" s="6" t="s">
        <v>17182</v>
      </c>
      <c r="J6664" s="5">
        <v>1160</v>
      </c>
    </row>
    <row r="6665" s="2" customFormat="1" spans="1:10">
      <c r="A6665" s="6">
        <f>6663</f>
        <v>6663</v>
      </c>
      <c r="B6665" s="6" t="s">
        <v>17183</v>
      </c>
      <c r="C6665" s="6" t="s">
        <v>12</v>
      </c>
      <c r="D6665" s="6" t="s">
        <v>16132</v>
      </c>
      <c r="E6665" s="6" t="s">
        <v>16998</v>
      </c>
      <c r="F6665" s="6" t="s">
        <v>17184</v>
      </c>
      <c r="G6665" s="6" t="s">
        <v>16</v>
      </c>
      <c r="H6665" s="5">
        <v>2</v>
      </c>
      <c r="I6665" s="6" t="s">
        <v>17185</v>
      </c>
      <c r="J6665" s="5">
        <v>670</v>
      </c>
    </row>
    <row r="6666" s="2" customFormat="1" spans="1:10">
      <c r="A6666" s="6">
        <f>6664</f>
        <v>6664</v>
      </c>
      <c r="B6666" s="6" t="s">
        <v>17186</v>
      </c>
      <c r="C6666" s="6" t="s">
        <v>12</v>
      </c>
      <c r="D6666" s="6" t="s">
        <v>16132</v>
      </c>
      <c r="E6666" s="6" t="s">
        <v>16998</v>
      </c>
      <c r="F6666" s="6" t="s">
        <v>17187</v>
      </c>
      <c r="G6666" s="6" t="s">
        <v>16</v>
      </c>
      <c r="H6666" s="5">
        <v>1</v>
      </c>
      <c r="I6666" s="6" t="s">
        <v>17187</v>
      </c>
      <c r="J6666" s="5">
        <v>225</v>
      </c>
    </row>
    <row r="6667" s="2" customFormat="1" ht="27" spans="1:10">
      <c r="A6667" s="6">
        <f>6665</f>
        <v>6665</v>
      </c>
      <c r="B6667" s="6" t="s">
        <v>17188</v>
      </c>
      <c r="C6667" s="6" t="s">
        <v>12</v>
      </c>
      <c r="D6667" s="6" t="s">
        <v>16132</v>
      </c>
      <c r="E6667" s="6" t="s">
        <v>16998</v>
      </c>
      <c r="F6667" s="6" t="s">
        <v>17189</v>
      </c>
      <c r="G6667" s="6" t="s">
        <v>16</v>
      </c>
      <c r="H6667" s="5">
        <v>4</v>
      </c>
      <c r="I6667" s="6" t="s">
        <v>17190</v>
      </c>
      <c r="J6667" s="5">
        <v>640</v>
      </c>
    </row>
    <row r="6668" s="2" customFormat="1" ht="27" spans="1:10">
      <c r="A6668" s="6">
        <f>6666</f>
        <v>6666</v>
      </c>
      <c r="B6668" s="6" t="s">
        <v>17191</v>
      </c>
      <c r="C6668" s="6" t="s">
        <v>12</v>
      </c>
      <c r="D6668" s="6" t="s">
        <v>16132</v>
      </c>
      <c r="E6668" s="6" t="s">
        <v>16998</v>
      </c>
      <c r="F6668" s="6" t="s">
        <v>17192</v>
      </c>
      <c r="G6668" s="6" t="s">
        <v>16</v>
      </c>
      <c r="H6668" s="5">
        <v>5</v>
      </c>
      <c r="I6668" s="6" t="s">
        <v>17193</v>
      </c>
      <c r="J6668" s="5">
        <v>2430</v>
      </c>
    </row>
    <row r="6669" s="2" customFormat="1" spans="1:10">
      <c r="A6669" s="6">
        <f>6667</f>
        <v>6667</v>
      </c>
      <c r="B6669" s="6" t="s">
        <v>17194</v>
      </c>
      <c r="C6669" s="6" t="s">
        <v>12</v>
      </c>
      <c r="D6669" s="6" t="s">
        <v>16132</v>
      </c>
      <c r="E6669" s="6" t="s">
        <v>16998</v>
      </c>
      <c r="F6669" s="6" t="s">
        <v>5351</v>
      </c>
      <c r="G6669" s="6" t="s">
        <v>16</v>
      </c>
      <c r="H6669" s="5">
        <v>3</v>
      </c>
      <c r="I6669" s="6" t="s">
        <v>17195</v>
      </c>
      <c r="J6669" s="5">
        <v>1700</v>
      </c>
    </row>
    <row r="6670" s="2" customFormat="1" spans="1:10">
      <c r="A6670" s="6">
        <f>6668</f>
        <v>6668</v>
      </c>
      <c r="B6670" s="6" t="s">
        <v>17196</v>
      </c>
      <c r="C6670" s="6" t="s">
        <v>12</v>
      </c>
      <c r="D6670" s="6" t="s">
        <v>16132</v>
      </c>
      <c r="E6670" s="6" t="s">
        <v>16998</v>
      </c>
      <c r="F6670" s="6" t="s">
        <v>17197</v>
      </c>
      <c r="G6670" s="6" t="s">
        <v>16</v>
      </c>
      <c r="H6670" s="5">
        <v>3</v>
      </c>
      <c r="I6670" s="6" t="s">
        <v>17198</v>
      </c>
      <c r="J6670" s="5">
        <v>958</v>
      </c>
    </row>
    <row r="6671" s="2" customFormat="1" spans="1:10">
      <c r="A6671" s="6">
        <f>6669</f>
        <v>6669</v>
      </c>
      <c r="B6671" s="6" t="s">
        <v>17199</v>
      </c>
      <c r="C6671" s="6" t="s">
        <v>12</v>
      </c>
      <c r="D6671" s="6" t="s">
        <v>16132</v>
      </c>
      <c r="E6671" s="6" t="s">
        <v>16998</v>
      </c>
      <c r="F6671" s="6" t="s">
        <v>17200</v>
      </c>
      <c r="G6671" s="6" t="s">
        <v>16</v>
      </c>
      <c r="H6671" s="5">
        <v>1</v>
      </c>
      <c r="I6671" s="6" t="s">
        <v>17200</v>
      </c>
      <c r="J6671" s="5">
        <v>220</v>
      </c>
    </row>
    <row r="6672" s="2" customFormat="1" spans="1:10">
      <c r="A6672" s="6">
        <f>6670</f>
        <v>6670</v>
      </c>
      <c r="B6672" s="6" t="s">
        <v>17201</v>
      </c>
      <c r="C6672" s="6" t="s">
        <v>12</v>
      </c>
      <c r="D6672" s="6" t="s">
        <v>16132</v>
      </c>
      <c r="E6672" s="6" t="s">
        <v>16998</v>
      </c>
      <c r="F6672" s="6" t="s">
        <v>17202</v>
      </c>
      <c r="G6672" s="6" t="s">
        <v>16</v>
      </c>
      <c r="H6672" s="5">
        <v>1</v>
      </c>
      <c r="I6672" s="6" t="s">
        <v>17202</v>
      </c>
      <c r="J6672" s="5">
        <v>220</v>
      </c>
    </row>
    <row r="6673" s="2" customFormat="1" spans="1:10">
      <c r="A6673" s="6">
        <f>6671</f>
        <v>6671</v>
      </c>
      <c r="B6673" s="6" t="s">
        <v>17203</v>
      </c>
      <c r="C6673" s="6" t="s">
        <v>12</v>
      </c>
      <c r="D6673" s="6" t="s">
        <v>16132</v>
      </c>
      <c r="E6673" s="6" t="s">
        <v>16998</v>
      </c>
      <c r="F6673" s="6" t="s">
        <v>17204</v>
      </c>
      <c r="G6673" s="6" t="s">
        <v>16</v>
      </c>
      <c r="H6673" s="5">
        <v>2</v>
      </c>
      <c r="I6673" s="6" t="s">
        <v>17205</v>
      </c>
      <c r="J6673" s="5">
        <v>340</v>
      </c>
    </row>
    <row r="6674" s="2" customFormat="1" spans="1:10">
      <c r="A6674" s="6">
        <f>6672</f>
        <v>6672</v>
      </c>
      <c r="B6674" s="6" t="s">
        <v>17206</v>
      </c>
      <c r="C6674" s="6" t="s">
        <v>12</v>
      </c>
      <c r="D6674" s="6" t="s">
        <v>16132</v>
      </c>
      <c r="E6674" s="6" t="s">
        <v>16998</v>
      </c>
      <c r="F6674" s="6" t="s">
        <v>17207</v>
      </c>
      <c r="G6674" s="6" t="s">
        <v>16</v>
      </c>
      <c r="H6674" s="5">
        <v>2</v>
      </c>
      <c r="I6674" s="6" t="s">
        <v>17208</v>
      </c>
      <c r="J6674" s="5">
        <v>601</v>
      </c>
    </row>
    <row r="6675" s="2" customFormat="1" spans="1:10">
      <c r="A6675" s="6">
        <f>6673</f>
        <v>6673</v>
      </c>
      <c r="B6675" s="6" t="s">
        <v>17209</v>
      </c>
      <c r="C6675" s="6" t="s">
        <v>12</v>
      </c>
      <c r="D6675" s="6" t="s">
        <v>16132</v>
      </c>
      <c r="E6675" s="6" t="s">
        <v>16998</v>
      </c>
      <c r="F6675" s="6" t="s">
        <v>17210</v>
      </c>
      <c r="G6675" s="6" t="s">
        <v>16</v>
      </c>
      <c r="H6675" s="5">
        <v>3</v>
      </c>
      <c r="I6675" s="6" t="s">
        <v>17211</v>
      </c>
      <c r="J6675" s="5">
        <v>1470</v>
      </c>
    </row>
    <row r="6676" s="2" customFormat="1" spans="1:10">
      <c r="A6676" s="6">
        <f>6674</f>
        <v>6674</v>
      </c>
      <c r="B6676" s="6" t="s">
        <v>17212</v>
      </c>
      <c r="C6676" s="6" t="s">
        <v>12</v>
      </c>
      <c r="D6676" s="6" t="s">
        <v>16132</v>
      </c>
      <c r="E6676" s="6" t="s">
        <v>16998</v>
      </c>
      <c r="F6676" s="6" t="s">
        <v>17213</v>
      </c>
      <c r="G6676" s="6" t="s">
        <v>16</v>
      </c>
      <c r="H6676" s="5">
        <v>1</v>
      </c>
      <c r="I6676" s="6" t="s">
        <v>17213</v>
      </c>
      <c r="J6676" s="5">
        <v>220</v>
      </c>
    </row>
    <row r="6677" s="2" customFormat="1" ht="27" spans="1:10">
      <c r="A6677" s="6">
        <f>6675</f>
        <v>6675</v>
      </c>
      <c r="B6677" s="6" t="s">
        <v>17214</v>
      </c>
      <c r="C6677" s="6" t="s">
        <v>12</v>
      </c>
      <c r="D6677" s="6" t="s">
        <v>16132</v>
      </c>
      <c r="E6677" s="6" t="s">
        <v>16998</v>
      </c>
      <c r="F6677" s="6" t="s">
        <v>17215</v>
      </c>
      <c r="G6677" s="6" t="s">
        <v>16</v>
      </c>
      <c r="H6677" s="5">
        <v>4</v>
      </c>
      <c r="I6677" s="6" t="s">
        <v>17216</v>
      </c>
      <c r="J6677" s="5">
        <v>1060</v>
      </c>
    </row>
    <row r="6678" s="2" customFormat="1" spans="1:10">
      <c r="A6678" s="6">
        <f>6676</f>
        <v>6676</v>
      </c>
      <c r="B6678" s="6" t="s">
        <v>17217</v>
      </c>
      <c r="C6678" s="6" t="s">
        <v>12</v>
      </c>
      <c r="D6678" s="6" t="s">
        <v>16132</v>
      </c>
      <c r="E6678" s="6" t="s">
        <v>16998</v>
      </c>
      <c r="F6678" s="6" t="s">
        <v>17218</v>
      </c>
      <c r="G6678" s="6" t="s">
        <v>16</v>
      </c>
      <c r="H6678" s="5">
        <v>1</v>
      </c>
      <c r="I6678" s="6" t="s">
        <v>17218</v>
      </c>
      <c r="J6678" s="5">
        <v>220</v>
      </c>
    </row>
  </sheetData>
  <mergeCells count="1">
    <mergeCell ref="A1:J1"/>
  </mergeCells>
  <pageMargins left="0.75" right="0.75" top="0.98" bottom="0.98" header="0.51" footer="0.51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家庭档案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吴也凡</dc:creator>
  <cp:lastModifiedBy>星辰</cp:lastModifiedBy>
  <dcterms:created xsi:type="dcterms:W3CDTF">2017-06-26T15:13:00Z</dcterms:created>
  <dcterms:modified xsi:type="dcterms:W3CDTF">2026-01-23T06:22:24Z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2052-12.1.0.16729</vt:lpwstr>
  </property>
  <property fmtid="{D5CDD505-2E9C-101B-9397-08002B2CF9AE}" pid="3" name="ICV">
    <vt:lpwstr>E65F11A5C3A047D3A7681E49EA491BD7_12</vt:lpwstr>
  </property>
</Properties>
</file>